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9320" windowHeight="679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<sst xmlns="http://schemas.openxmlformats.org/spreadsheetml/2006/main" count="1098" uniqueCount="273">
  <si>
    <t>Приложение</t>
  </si>
  <si>
    <t>к требованиям к форме плана</t>
  </si>
  <si>
    <t>закупки товаров (работ, услуг)</t>
  </si>
  <si>
    <t>ПЛАН ЗАКУПКИ ТОВАРОВ, РАБОТ И УСЛУГ</t>
  </si>
  <si>
    <r>
      <rPr>
        <b/>
        <sz val="10"/>
        <color indexed="8"/>
        <rFont val="Arial CYR"/>
        <family val="0"/>
      </rPr>
      <t>Наименование заказчика:</t>
    </r>
    <r>
      <rPr>
        <sz val="10"/>
        <color indexed="8"/>
        <rFont val="Times New Roman"/>
        <family val="1"/>
      </rPr>
      <t xml:space="preserve"> СГМУП "Городские тепловые сети"</t>
    </r>
  </si>
  <si>
    <r>
      <rPr>
        <b/>
        <sz val="10"/>
        <color indexed="8"/>
        <rFont val="Arial CYR"/>
        <family val="0"/>
      </rPr>
      <t>Адрес местонахождения заказчика:</t>
    </r>
    <r>
      <rPr>
        <sz val="10"/>
        <color indexed="8"/>
        <rFont val="Times New Roman"/>
        <family val="1"/>
      </rPr>
      <t xml:space="preserve"> 628412, ХМАО-Югра, Тюменская область, г. Сургут, ул. Маяковского, 15</t>
    </r>
  </si>
  <si>
    <r>
      <rPr>
        <b/>
        <sz val="10"/>
        <color indexed="8"/>
        <rFont val="Arial CYR"/>
        <family val="0"/>
      </rPr>
      <t>Телефон заказчика:</t>
    </r>
    <r>
      <rPr>
        <sz val="10"/>
        <color indexed="8"/>
        <rFont val="Times New Roman"/>
        <family val="1"/>
      </rPr>
      <t xml:space="preserve"> (3462) 52-43-71, 52-43-69</t>
    </r>
  </si>
  <si>
    <r>
      <rPr>
        <b/>
        <sz val="10"/>
        <color indexed="8"/>
        <rFont val="Arial CYR"/>
        <family val="0"/>
      </rPr>
      <t>Электронная почта заказчика:</t>
    </r>
    <r>
      <rPr>
        <sz val="10"/>
        <color indexed="8"/>
        <rFont val="Times New Roman"/>
        <family val="1"/>
      </rPr>
      <t xml:space="preserve"> Bushova2012@gmail.com</t>
    </r>
  </si>
  <si>
    <r>
      <rPr>
        <b/>
        <sz val="10"/>
        <color indexed="8"/>
        <rFont val="Arial CYR"/>
        <family val="0"/>
      </rPr>
      <t>ИНН:</t>
    </r>
    <r>
      <rPr>
        <sz val="10"/>
        <color indexed="8"/>
        <rFont val="Times New Roman"/>
        <family val="1"/>
      </rPr>
      <t xml:space="preserve"> 8602017038</t>
    </r>
  </si>
  <si>
    <r>
      <rPr>
        <b/>
        <sz val="10"/>
        <color indexed="8"/>
        <rFont val="Arial CYR"/>
        <family val="0"/>
      </rPr>
      <t>КПП:</t>
    </r>
    <r>
      <rPr>
        <sz val="10"/>
        <color indexed="8"/>
        <rFont val="Times New Roman"/>
        <family val="1"/>
      </rPr>
      <t xml:space="preserve"> 862450001</t>
    </r>
  </si>
  <si>
    <r>
      <rPr>
        <b/>
        <sz val="10"/>
        <color indexed="8"/>
        <rFont val="Arial CYR"/>
        <family val="0"/>
      </rPr>
      <t>ОКАТО:</t>
    </r>
    <r>
      <rPr>
        <sz val="10"/>
        <color indexed="8"/>
        <rFont val="Times New Roman"/>
        <family val="1"/>
      </rPr>
      <t xml:space="preserve"> 71136000000</t>
    </r>
  </si>
  <si>
    <t>Порядковый номер</t>
  </si>
  <si>
    <t>Код по ОКВЭД</t>
  </si>
  <si>
    <t>Код по ОКДП</t>
  </si>
  <si>
    <t>Условия договора</t>
  </si>
  <si>
    <t>Способ закупки</t>
  </si>
  <si>
    <t>Закупка
в электронной форме</t>
  </si>
  <si>
    <t>Предмет договора</t>
  </si>
  <si>
    <t>Минимально необходимые требования, предъявляемые
к закупаемым товарам (работам, услугам)</t>
  </si>
  <si>
    <t>Единица измерения</t>
  </si>
  <si>
    <t>Сведения о количестве (объеме)</t>
  </si>
  <si>
    <t>Регион
поставки
товаров (выполнения работ,
оказания услуг)</t>
  </si>
  <si>
    <t>Сведения*
о начальной (максимальной)
цене договора
(цене лота) (руб. с НДС)</t>
  </si>
  <si>
    <t>График осуществления процедур закупки</t>
  </si>
  <si>
    <t>Код по ОКЕИ</t>
  </si>
  <si>
    <t>наименование</t>
  </si>
  <si>
    <t>Код по ОКАТО</t>
  </si>
  <si>
    <t>Планируемая дата или период размещения извещения
о закупке
(месяц, год)</t>
  </si>
  <si>
    <t>Срок исполнения договора
(месяц, год)</t>
  </si>
  <si>
    <t>да/нет</t>
  </si>
  <si>
    <t>1</t>
  </si>
  <si>
    <t>2</t>
  </si>
  <si>
    <t>3</t>
  </si>
  <si>
    <t>Раздел 1. Закупка ТМЦ.</t>
  </si>
  <si>
    <t>74.14,40.30,45.2,80.2,28.1,74.20.55,74.2,74.30.1,6024.1</t>
  </si>
  <si>
    <t>Соответствие продукции ГОСТ, ТУ, сертификации, условиям ТЗ и договоров</t>
  </si>
  <si>
    <t>796</t>
  </si>
  <si>
    <t>шт</t>
  </si>
  <si>
    <t>71136000000</t>
  </si>
  <si>
    <t>г. Сургут</t>
  </si>
  <si>
    <t>запрос цен</t>
  </si>
  <si>
    <t>нет</t>
  </si>
  <si>
    <t>согласно закупочной документации</t>
  </si>
  <si>
    <t>запрос предложений</t>
  </si>
  <si>
    <t>4</t>
  </si>
  <si>
    <t>3100000</t>
  </si>
  <si>
    <t>6</t>
  </si>
  <si>
    <t>7</t>
  </si>
  <si>
    <t>8</t>
  </si>
  <si>
    <t>запрос цены</t>
  </si>
  <si>
    <t>2800000</t>
  </si>
  <si>
    <t>закупка у единственного постащика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</si>
  <si>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</si>
  <si>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</si>
  <si>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</si>
  <si>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</si>
  <si>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</si>
  <si>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</si>
  <si>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</si>
  <si>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</si>
  <si>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</si>
  <si>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</si>
  <si>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</si>
  <si>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</si>
  <si>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</si>
  <si>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</si>
  <si>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</si>
  <si>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</si>
  <si>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</si>
  <si>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113</t>
  </si>
  <si>
    <t>м.куб.</t>
  </si>
  <si>
    <t>35</t>
  </si>
  <si>
    <t>4500000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</si>
  <si>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</si>
  <si>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</si>
  <si>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</si>
  <si>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</si>
  <si>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</si>
  <si>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</si>
  <si>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</si>
  <si>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</si>
  <si>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</si>
  <si>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</si>
  <si>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</si>
  <si>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</si>
  <si>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Раздел 2. Закупка основных средств, не  требующих монтажа.</t>
  </si>
  <si>
    <t>48</t>
  </si>
  <si>
    <t>49</t>
  </si>
  <si>
    <t>50</t>
  </si>
  <si>
    <t>51</t>
  </si>
  <si>
    <t>52</t>
  </si>
  <si>
    <t>Раздел 3.  Строительно-монтажные работы.</t>
  </si>
  <si>
    <t>53</t>
  </si>
  <si>
    <t>наличие лицензии на вид деятельности</t>
  </si>
  <si>
    <t>54</t>
  </si>
  <si>
    <t>Выполнение требований СНиП 12-01-2004 "организация сторительства" и наличие лицензи на вид оказываемых услуг</t>
  </si>
  <si>
    <t>авторские права</t>
  </si>
  <si>
    <t xml:space="preserve">Выполнение требований СНиП 12-01-2004 "организация сторительства" </t>
  </si>
  <si>
    <t>Установка  регулирующего клапана подпора на трубопроводе Т2 системы отопления ЦТП № 7, 8, 16, 22, 23, 33, 34, 35, 36, 38, 39, 45, 52, 53,61,62,65,75,76,77,80</t>
  </si>
  <si>
    <t xml:space="preserve">Выполнение требований СНиП 12-01-2004 "организация строительства" </t>
  </si>
  <si>
    <t>Раздел 4. Оказание услуг</t>
  </si>
  <si>
    <t>3010030</t>
  </si>
  <si>
    <t>закупка у единственного поставщика</t>
  </si>
  <si>
    <t>40100000</t>
  </si>
  <si>
    <t>Покупка электроэнергии (ОАО "Тюменьэнергосбыт"</t>
  </si>
  <si>
    <t>Наличие права распоряжения продаваемыми энергоресурсами, соответствие количеству и требованиям качества</t>
  </si>
  <si>
    <t>4110000,9010000</t>
  </si>
  <si>
    <t>Прием и отведение сточных вод</t>
  </si>
  <si>
    <t>5200000</t>
  </si>
  <si>
    <t>Сопровождение ПРК Энергосбыт</t>
  </si>
  <si>
    <t>9300000</t>
  </si>
  <si>
    <t>Очистка и вывоз снега</t>
  </si>
  <si>
    <t>Опыт работы на рынке, наличие лицензии</t>
  </si>
  <si>
    <t>40300000</t>
  </si>
  <si>
    <t>Отпуск тепловой энергии в горячей воде</t>
  </si>
  <si>
    <t>Отпуск  воды, прием сточных вод</t>
  </si>
  <si>
    <t>7412040</t>
  </si>
  <si>
    <t>Опыт работы с предприятиями ТЭК, наличие квалифицированного персонала, наличие СРО</t>
  </si>
  <si>
    <t>наличие лицензии на вид оказываемых услуг, опыт работы, наличие квалифицированного персонала</t>
  </si>
  <si>
    <t xml:space="preserve">Раздел 5 . Проектные работы. </t>
  </si>
  <si>
    <t>4560000</t>
  </si>
  <si>
    <t>ИТОГО, руб.</t>
  </si>
  <si>
    <t>(подпись)</t>
  </si>
  <si>
    <t>(дата утверждения)</t>
  </si>
  <si>
    <t>М.П.</t>
  </si>
  <si>
    <t xml:space="preserve">* - Начальная (максимальная) цена и объемы закупки могут меняться, в зависимости от объективных обстоятельств и потребностей Заказчика. Закупочной документации к </t>
  </si>
  <si>
    <t>Окончательная (максимальная) цена и количество единниц указываются в Извещении и Закупочной документации к процедуре закупки.</t>
  </si>
  <si>
    <t>7420000</t>
  </si>
  <si>
    <t>150</t>
  </si>
  <si>
    <t>74.14,40.30,45.2,80.2,28.1,74.20.55,74.2,74.30.1,6024.2</t>
  </si>
  <si>
    <t>Юркин В.Н., директор СГМУП "Городские тепловые сети"</t>
  </si>
  <si>
    <t xml:space="preserve"> 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</si>
  <si>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</si>
  <si>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</si>
  <si>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</si>
  <si>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</si>
  <si>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</si>
  <si>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</si>
  <si>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</si>
  <si>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ноябрь</t>
  </si>
  <si>
    <t>Проведение ЭПБ металлической дымовой трубы Н=60м, Д 2,1м на котельной №3</t>
  </si>
  <si>
    <t xml:space="preserve">апрель </t>
  </si>
  <si>
    <t>май-сентябрь</t>
  </si>
  <si>
    <t>июнь-сентябрь</t>
  </si>
  <si>
    <t>март</t>
  </si>
  <si>
    <t>март-май</t>
  </si>
  <si>
    <t>Электрооборудование котельных (эл. Двигатели, пускатели, авт. Выключатели, силовые электрошкафы, секционные панели, регистраторы и т.п.)</t>
  </si>
  <si>
    <t>Электродвигатели сетевых насосов на котельных № 6,7</t>
  </si>
  <si>
    <t>апрель-июнь</t>
  </si>
  <si>
    <t>июнь-август</t>
  </si>
  <si>
    <t xml:space="preserve">Техническое перевооружение наружного освещения территории котельной № 3 </t>
  </si>
  <si>
    <t>Капитальный ремонт дренажных каналов на котельной №13</t>
  </si>
  <si>
    <t>000493</t>
  </si>
  <si>
    <t>м.кв.</t>
  </si>
  <si>
    <t>Капитальный ремонт кровли методом напыления (здания ЦТП-12, 16, 49, 19, столовая №3 по ул.Нефтяников, склад-арочник по ул.Профсоюзов, 69/1)</t>
  </si>
  <si>
    <t>Капитальный ремонт помещений ЦТП -74</t>
  </si>
  <si>
    <t>Капитальный ремонт помещений ЦТП -27</t>
  </si>
  <si>
    <t>Капитальный ремонт помещений ЦТП -30</t>
  </si>
  <si>
    <t>Капитальный ремонт помещений ЦТП -73</t>
  </si>
  <si>
    <t>Капитальный ремонт помещений ЦТП -81</t>
  </si>
  <si>
    <t>Техническое перевооружение здания ЦТП-41</t>
  </si>
  <si>
    <t>Капитальный ремонт  АБК РТС-2 по ул.Нефтяников</t>
  </si>
  <si>
    <t>Разработка проекта на ремонт здания ЦТП №57 с учетом ликвидации ЦТП-87 и подключения отопительной нагрузки ЦТП-87 к ЦТП-57 (строительная и технологическая часть)</t>
  </si>
  <si>
    <t>Разработка проекта на ремонт  здания ЦТП № 83</t>
  </si>
  <si>
    <t>Разработка проектной документации по техническому перевооружению здания АДС (Нефтяников, 24, стр.1)</t>
  </si>
  <si>
    <t>Замена приборов КМ-5 на УВП-Метран на узлах учета т/энергии ЦТП - 10,45,94,95,97,98,20,96</t>
  </si>
  <si>
    <t>май-август</t>
  </si>
  <si>
    <t>единственный поставщик</t>
  </si>
  <si>
    <t>Капитальный ремонт  помещений БПК-1</t>
  </si>
  <si>
    <t xml:space="preserve">Разработка проекта приточно-вытяжной вентиляции БПК-1 </t>
  </si>
  <si>
    <t xml:space="preserve">Выборочный  ремонт  кровли   БПК "Геолог" </t>
  </si>
  <si>
    <t>конкурс в рамках 94-фз</t>
  </si>
  <si>
    <t>Аудит бухгалтерской отчетности за 2014 год</t>
  </si>
  <si>
    <t>январь-декабрь 2015</t>
  </si>
  <si>
    <t>Информационное обслуживание системы "Консультант Плюс"</t>
  </si>
  <si>
    <t>январь-декабрь</t>
  </si>
  <si>
    <t>Приобретение технологического оборудования и трубопроводов котельных (насосы, дымососы, дутьевые вентиляторы, зап. Арматура, фильтры)</t>
  </si>
  <si>
    <t>капитальный ремонт и замена технологического оборудования и трубопроводов котельных  с устройством тепловой изоляции и антикорозийной защитой оборудования</t>
  </si>
  <si>
    <t>Приобретение дутьевых вентиляторов водогрейных котлов ПТВМ-30М № 2</t>
  </si>
  <si>
    <t xml:space="preserve">Приобретение фильтров ФОВ-3072Т станции обезжелезивания </t>
  </si>
  <si>
    <t>Нанесение тонкослойного теплоизоляционного покрытия  на поверхности  смонтированных трубопроводов обвязки осветительно-сорбционных фильтров ФОВ-3072Т, бака-дегазатора и дегазатора, и механических фильтров ФОВ-1,0-0,6 №1,2,3 станции обезжелезивания на ВОС "Олимпия"</t>
  </si>
  <si>
    <t>110</t>
  </si>
  <si>
    <t>Устранение замечаний согласно заключений ЭПБ (металлическая четырехств.дымовая труба  Н=59,5м, Д=1,22м*4шт. на котельной №1 ( наружн.антикор.защита), металлич. Дымовая труба Н=20м, Д=0,426 м на котельной № 19)</t>
  </si>
  <si>
    <t>Приобретение ЗИП для систем автоматитзации котельных</t>
  </si>
  <si>
    <t>Приобретение насосов 1Д200-90-К № 2 для хим. Промывки котлов ПТВМ-30М на котельной № 14 (без рамы и эл.двиг)</t>
  </si>
  <si>
    <t>Приобретение сетевых насосов 1Д630-90 №1, 3,4 (без эл.двигателей)</t>
  </si>
  <si>
    <t>Проведение ЭПБ зданий и сооружений</t>
  </si>
  <si>
    <t xml:space="preserve">Разработка проекта на тех. перевооружение наружного освещения территории котельных № 1,2 </t>
  </si>
  <si>
    <t>Приобретение стационарных гозоанализаторовСКГГ на ФСТ и вычислителей расхода газа УВП-280</t>
  </si>
  <si>
    <t>Режимно-наладочные испытания  водогрейногго котла ПТВМ-30 №3 на  котельной №15</t>
  </si>
  <si>
    <t>797</t>
  </si>
  <si>
    <t>Модернизация системы автоматизации котлов "Амакс" на котельной № 3</t>
  </si>
  <si>
    <t>Выполнение требований СНиП 12-01-2004 "организация сторительства" и наличие лицензии на вид оказываемых услуг</t>
  </si>
  <si>
    <t>Корректировка проекта  автоматизированной системы управления технологическими процессами по котельной №2 с  внедрением технологической части.</t>
  </si>
  <si>
    <t>7420001</t>
  </si>
  <si>
    <t xml:space="preserve">Внедрение АСУ ТП системы деаэрации на котельной № 13 с разработкой проекта. </t>
  </si>
  <si>
    <t>Приобретение частотных преобразователей "Danfoss" тягодутьевых механизмов на котельной № 14  с адаптацией к системе газораспределения АМАКС</t>
  </si>
  <si>
    <t>4560001</t>
  </si>
  <si>
    <t>Разработка проекта вывода пожарно-охранной сигнализации по оптоволокну с объектов базы на кот.№1, 2  с установкой  контрольного рабочего места на проходной.</t>
  </si>
  <si>
    <t>Восстановление благоустройства после проведения ремонтных работ</t>
  </si>
  <si>
    <t>Капитальный ремонт ветхих трубопроводов, в том числе  поселков временного жилья,  п.Черный Мыс, п.Дорожный</t>
  </si>
  <si>
    <t>Капитальный ремонт изоляции ветхих трубопроводов</t>
  </si>
  <si>
    <t>Монтаж вводно-распределительных устройств ВРУ 0,4кВ  на ЦТП-12, 16, 41, 22, 25, 83  с приобретением электрооборудования и разработкой проектной документации.</t>
  </si>
  <si>
    <t>март-сентябрь</t>
  </si>
  <si>
    <t>Модерннизация узлов учета электроэнергии всего предприятия, включая котельные, ЦТП и ПС</t>
  </si>
  <si>
    <t>2402</t>
  </si>
  <si>
    <t>2700000,2800000</t>
  </si>
  <si>
    <t>Трубная продукция и комплектующие к ней</t>
  </si>
  <si>
    <t>Замена магистральных и внутриквартальных сетей теплоснабжения</t>
  </si>
  <si>
    <t>открытый конкурс</t>
  </si>
  <si>
    <t xml:space="preserve">Приобретение запорной арматуры </t>
  </si>
  <si>
    <t>Изготовление и установка оконных блоков для здания АБК диспетчерская, пр. Комсомольский, 6б, соор.1., АБК ул. Маяковского 15</t>
  </si>
  <si>
    <t xml:space="preserve">Капитальный ремонт здания мастерской  АДС </t>
  </si>
  <si>
    <t>Капитальный ремонт здания АДС. Усиление проема в перекрытии под лестницей по ул.Нефтяников, строение №1. Усиление конструкции здания диспетчерской (холодный пристрой)</t>
  </si>
  <si>
    <t>Капитальный ремонт систем автоматизации   котельных, ЦТП с частичным приобретением ЗИП</t>
  </si>
  <si>
    <t>март-апрель</t>
  </si>
  <si>
    <t>Приобретение ЗИП частотных преобразователей  "Данфосс" FC-102 мощностью 7, 5, 11, 15, 18,5, 22,30, 37 (кВт) для станций управления на ЦТП.</t>
  </si>
  <si>
    <t>Перевод  системы передачи данных по радиоканалу на передачу данных с использованием мобильной связи GPRS (отказ от радиоканалов) с ЦТП и котельных.</t>
  </si>
  <si>
    <t xml:space="preserve">Установка регулирующего клапана температуры на ЦТП № 81,49,83,82,22 </t>
  </si>
  <si>
    <t>Приобретение теплообменного оборудования и автоматизации ГВС на ЦТП74,81,2,22</t>
  </si>
  <si>
    <t>13</t>
  </si>
  <si>
    <t>330000</t>
  </si>
  <si>
    <t xml:space="preserve"> Приобретение дистанционного контроля параметров на ЦТП № 2,12,22,30,82,74,81</t>
  </si>
  <si>
    <t>Наличие лицензии на вид деятельности</t>
  </si>
  <si>
    <t>Обеспечение дистанционного контроля параметров ЦТП № 2,12,22,30,82,74,81</t>
  </si>
  <si>
    <t>5200001</t>
  </si>
  <si>
    <t>Установка предохранительных пружинных клапанов на ЦТП № 80,81,82,83</t>
  </si>
  <si>
    <t>приобретение насосного оборудования для ЦТП №80,81,81,83</t>
  </si>
  <si>
    <t>Оборудование для обеспечения требований ОТ, ТБ, ПБ</t>
  </si>
  <si>
    <t>Разработка гидравлических режимов на отопительный сезон 2014-2015г.г. по зонам теплоснабжения: "ПКТС-город", ПКТС-ВЖР" (от П-11, П12, П5, П7, П10 до ЦТП), "ГРЭС-2 - Промзона" (от т.врезки в трубопровод  ООО "СГЭС" до ЦТП-89 и ЦТП - ПСО-34"),  гидравлических режимов внутриквартальных трубопроводов ГВС от ЦТП -65, 66, 63, 62, 7 до абонентских вводов.</t>
  </si>
  <si>
    <t>декабрь 2014-март 2015</t>
  </si>
  <si>
    <t>2015</t>
  </si>
  <si>
    <t xml:space="preserve">декабрь </t>
  </si>
  <si>
    <t>«27» декабря 2013 г.</t>
  </si>
  <si>
    <t>ремонт БПК-1 ул. Декабристов 11</t>
  </si>
  <si>
    <t>Обследование и разработка проекта по капитальному ремонту кровли бани "НГДУ"</t>
  </si>
  <si>
    <t>январь-декабрь 2014</t>
  </si>
  <si>
    <t>Оказание услуг по сопровождению программно-аппаратного комплекса "Телескоп+"</t>
  </si>
  <si>
    <t>Капитальный ремонт кровли  методом напыления БПК-1</t>
  </si>
  <si>
    <t>Комплексная модернизация ЦТП (10шт)с внедрением полной автоматизации технологического процесса, заменой оборудования на энергосберегающее, с обеспечением дистанционного контроля и управления ТП с разработкой проекта.</t>
  </si>
  <si>
    <t>запрос предложений (несколько лотов)</t>
  </si>
  <si>
    <t>3100001</t>
  </si>
  <si>
    <t>5</t>
  </si>
  <si>
    <t>9</t>
  </si>
  <si>
    <t>10</t>
  </si>
  <si>
    <t>11</t>
  </si>
  <si>
    <t>12</t>
  </si>
  <si>
    <t>14</t>
  </si>
  <si>
    <t>15</t>
  </si>
  <si>
    <t>16</t>
  </si>
  <si>
    <t>17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</si>
  <si>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</si>
  <si>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</si>
  <si>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</si>
  <si>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</si>
  <si>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</si>
  <si>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</si>
  <si>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</si>
  <si>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</si>
  <si>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</si>
  <si>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</si>
  <si>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</si>
  <si>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</si>
  <si>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</si>
  <si>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</si>
  <si>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</si>
  <si>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</si>
  <si>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</si>
  <si>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</si>
  <si>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</si>
  <si>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</si>
  <si>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</si>
  <si>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на 2014 год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</si>
</sst>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_р_._-;\-* #,##0.00_р_._-;_-* &quot;-&quot;_р_._-;_-@_-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  <numFmt numFmtId="170" formatCode="00000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Arial CYR"/>
      <family val="0"/>
    </font>
    <font>
      <b/>
      <i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i/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i/>
      <sz val="9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b/>
      <i/>
      <sz val="8"/>
      <color theme="1"/>
      <name val="Times New Roman"/>
      <family val="1"/>
    </font>
    <font>
      <b/>
      <i/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12"/>
      <color theme="1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/>
    </border>
    <border>
      <left/>
      <right/>
      <top style="thin"/>
      <bottom>
        <color indexed="63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>
        <color indexed="63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/>
      <top style="thin">
        <color rgb="FF000000"/>
      </top>
      <bottom style="thin"/>
    </border>
    <border>
      <left/>
      <right/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/>
      <right/>
      <top/>
      <bottom style="thin">
        <color rgb="FF000000"/>
      </bottom>
    </border>
    <border>
      <left style="thin">
        <color rgb="FF000000"/>
      </left>
      <right>
        <color indexed="63"/>
      </right>
      <top style="thin"/>
      <bottom style="thin">
        <color rgb="FF000000"/>
      </bottom>
    </border>
    <border>
      <left>
        <color indexed="63"/>
      </left>
      <right>
        <color indexed="63"/>
      </right>
      <top style="thin"/>
      <bottom style="thin">
        <color rgb="FF000000"/>
      </bottom>
    </border>
    <border>
      <left>
        <color indexed="63"/>
      </left>
      <right style="thin">
        <color rgb="FF000000"/>
      </right>
      <top style="thin"/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rgb="FF000000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30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ill="1" applyAlignment="1">
      <alignment vertical="center"/>
    </xf>
    <xf numFmtId="49" fontId="48" fillId="0" borderId="10" xfId="0" applyNumberFormat="1" applyFont="1" applyFill="1" applyBorder="1" applyAlignment="1">
      <alignment horizontal="center" vertical="center" wrapText="1"/>
    </xf>
    <xf numFmtId="49" fontId="49" fillId="0" borderId="0" xfId="0" applyNumberFormat="1" applyFont="1" applyFill="1" applyAlignment="1">
      <alignment horizontal="left"/>
    </xf>
    <xf numFmtId="49" fontId="49" fillId="0" borderId="0" xfId="0" applyNumberFormat="1" applyFont="1" applyFill="1" applyAlignment="1">
      <alignment horizontal="right" vertical="center"/>
    </xf>
    <xf numFmtId="49" fontId="49" fillId="0" borderId="0" xfId="0" applyNumberFormat="1" applyFont="1" applyFill="1" applyAlignment="1">
      <alignment horizontal="justify" vertical="center"/>
    </xf>
    <xf numFmtId="49" fontId="49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49" fontId="48" fillId="0" borderId="10" xfId="0" applyNumberFormat="1" applyFont="1" applyFill="1" applyBorder="1" applyAlignment="1">
      <alignment horizontal="center" vertical="center" textRotation="90" wrapText="1"/>
    </xf>
    <xf numFmtId="49" fontId="48" fillId="0" borderId="10" xfId="0" applyNumberFormat="1" applyFont="1" applyFill="1" applyBorder="1" applyAlignment="1">
      <alignment horizontal="center"/>
    </xf>
    <xf numFmtId="49" fontId="49" fillId="0" borderId="0" xfId="0" applyNumberFormat="1" applyFont="1" applyFill="1" applyAlignment="1">
      <alignment wrapText="1" shrinkToFit="1"/>
    </xf>
    <xf numFmtId="49" fontId="48" fillId="0" borderId="10" xfId="0" applyNumberFormat="1" applyFont="1" applyFill="1" applyBorder="1" applyAlignment="1">
      <alignment wrapText="1" shrinkToFit="1"/>
    </xf>
    <xf numFmtId="49" fontId="48" fillId="33" borderId="11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vertical="center" wrapText="1"/>
    </xf>
    <xf numFmtId="49" fontId="50" fillId="33" borderId="11" xfId="0" applyNumberFormat="1" applyFont="1" applyFill="1" applyBorder="1" applyAlignment="1">
      <alignment horizontal="center" vertical="center" wrapText="1"/>
    </xf>
    <xf numFmtId="43" fontId="48" fillId="33" borderId="11" xfId="60" applyFont="1" applyFill="1" applyBorder="1" applyAlignment="1">
      <alignment horizontal="center" vertical="center" wrapText="1"/>
    </xf>
    <xf numFmtId="49" fontId="51" fillId="33" borderId="11" xfId="0" applyNumberFormat="1" applyFont="1" applyFill="1" applyBorder="1" applyAlignment="1">
      <alignment vertical="center" wrapText="1" shrinkToFit="1"/>
    </xf>
    <xf numFmtId="0" fontId="4" fillId="33" borderId="11" xfId="0" applyNumberFormat="1" applyFont="1" applyFill="1" applyBorder="1" applyAlignment="1">
      <alignment vertical="center" wrapText="1"/>
    </xf>
    <xf numFmtId="0" fontId="0" fillId="33" borderId="11" xfId="0" applyFill="1" applyBorder="1" applyAlignment="1">
      <alignment vertical="center"/>
    </xf>
    <xf numFmtId="43" fontId="38" fillId="33" borderId="11" xfId="0" applyNumberFormat="1" applyFont="1" applyFill="1" applyBorder="1" applyAlignment="1">
      <alignment vertical="center"/>
    </xf>
    <xf numFmtId="164" fontId="48" fillId="33" borderId="11" xfId="61" applyNumberFormat="1" applyFont="1" applyFill="1" applyBorder="1" applyAlignment="1">
      <alignment horizontal="center" vertical="center" wrapText="1"/>
    </xf>
    <xf numFmtId="49" fontId="48" fillId="33" borderId="11" xfId="0" applyNumberFormat="1" applyFont="1" applyFill="1" applyBorder="1" applyAlignment="1">
      <alignment horizontal="center" vertical="center"/>
    </xf>
    <xf numFmtId="49" fontId="48" fillId="33" borderId="12" xfId="0" applyNumberFormat="1" applyFont="1" applyFill="1" applyBorder="1" applyAlignment="1">
      <alignment horizontal="center" vertical="center"/>
    </xf>
    <xf numFmtId="49" fontId="48" fillId="33" borderId="13" xfId="0" applyNumberFormat="1" applyFont="1" applyFill="1" applyBorder="1" applyAlignment="1">
      <alignment horizontal="center" vertical="center"/>
    </xf>
    <xf numFmtId="49" fontId="48" fillId="33" borderId="14" xfId="0" applyNumberFormat="1" applyFont="1" applyFill="1" applyBorder="1" applyAlignment="1">
      <alignment horizontal="center" vertical="center"/>
    </xf>
    <xf numFmtId="49" fontId="52" fillId="33" borderId="11" xfId="0" applyNumberFormat="1" applyFont="1" applyFill="1" applyBorder="1" applyAlignment="1">
      <alignment vertical="center" wrapText="1" shrinkToFit="1"/>
    </xf>
    <xf numFmtId="49" fontId="48" fillId="33" borderId="15" xfId="0" applyNumberFormat="1" applyFont="1" applyFill="1" applyBorder="1" applyAlignment="1">
      <alignment horizontal="center" vertical="center" wrapText="1"/>
    </xf>
    <xf numFmtId="49" fontId="48" fillId="33" borderId="15" xfId="0" applyNumberFormat="1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vertical="center" wrapText="1"/>
    </xf>
    <xf numFmtId="43" fontId="48" fillId="33" borderId="15" xfId="60" applyFont="1" applyFill="1" applyBorder="1" applyAlignment="1">
      <alignment vertical="center" wrapText="1"/>
    </xf>
    <xf numFmtId="49" fontId="48" fillId="33" borderId="17" xfId="0" applyNumberFormat="1" applyFont="1" applyFill="1" applyBorder="1" applyAlignment="1">
      <alignment horizontal="center" vertical="center"/>
    </xf>
    <xf numFmtId="49" fontId="48" fillId="33" borderId="18" xfId="0" applyNumberFormat="1" applyFont="1" applyFill="1" applyBorder="1" applyAlignment="1">
      <alignment horizontal="center" vertical="center"/>
    </xf>
    <xf numFmtId="49" fontId="51" fillId="33" borderId="18" xfId="0" applyNumberFormat="1" applyFont="1" applyFill="1" applyBorder="1" applyAlignment="1">
      <alignment vertical="center" wrapText="1" shrinkToFit="1"/>
    </xf>
    <xf numFmtId="49" fontId="48" fillId="33" borderId="18" xfId="0" applyNumberFormat="1" applyFont="1" applyFill="1" applyBorder="1" applyAlignment="1">
      <alignment horizontal="center" vertical="center" wrapText="1"/>
    </xf>
    <xf numFmtId="49" fontId="48" fillId="33" borderId="19" xfId="0" applyNumberFormat="1" applyFont="1" applyFill="1" applyBorder="1" applyAlignment="1">
      <alignment horizontal="center" vertical="center"/>
    </xf>
    <xf numFmtId="43" fontId="53" fillId="33" borderId="18" xfId="60" applyFont="1" applyFill="1" applyBorder="1" applyAlignment="1">
      <alignment horizontal="center" vertical="center" wrapText="1"/>
    </xf>
    <xf numFmtId="49" fontId="48" fillId="33" borderId="20" xfId="0" applyNumberFormat="1" applyFont="1" applyFill="1" applyBorder="1" applyAlignment="1">
      <alignment horizontal="center" vertical="center"/>
    </xf>
    <xf numFmtId="49" fontId="48" fillId="33" borderId="16" xfId="0" applyNumberFormat="1" applyFont="1" applyFill="1" applyBorder="1" applyAlignment="1">
      <alignment horizontal="center" vertical="center"/>
    </xf>
    <xf numFmtId="0" fontId="51" fillId="33" borderId="16" xfId="0" applyFont="1" applyFill="1" applyBorder="1" applyAlignment="1">
      <alignment vertical="center" wrapText="1"/>
    </xf>
    <xf numFmtId="49" fontId="48" fillId="33" borderId="10" xfId="0" applyNumberFormat="1" applyFont="1" applyFill="1" applyBorder="1" applyAlignment="1">
      <alignment horizontal="center" vertical="center" wrapText="1"/>
    </xf>
    <xf numFmtId="43" fontId="48" fillId="33" borderId="16" xfId="60" applyFont="1" applyFill="1" applyBorder="1" applyAlignment="1">
      <alignment vertical="center" wrapText="1"/>
    </xf>
    <xf numFmtId="49" fontId="48" fillId="33" borderId="21" xfId="0" applyNumberFormat="1" applyFont="1" applyFill="1" applyBorder="1" applyAlignment="1">
      <alignment horizontal="center" vertical="center"/>
    </xf>
    <xf numFmtId="49" fontId="48" fillId="33" borderId="22" xfId="0" applyNumberFormat="1" applyFont="1" applyFill="1" applyBorder="1" applyAlignment="1">
      <alignment horizontal="center" vertical="center"/>
    </xf>
    <xf numFmtId="49" fontId="48" fillId="33" borderId="23" xfId="0" applyNumberFormat="1" applyFont="1" applyFill="1" applyBorder="1" applyAlignment="1">
      <alignment horizontal="center" vertical="center"/>
    </xf>
    <xf numFmtId="49" fontId="48" fillId="33" borderId="10" xfId="0" applyNumberFormat="1" applyFont="1" applyFill="1" applyBorder="1" applyAlignment="1">
      <alignment horizontal="center" vertical="center"/>
    </xf>
    <xf numFmtId="4" fontId="48" fillId="33" borderId="10" xfId="0" applyNumberFormat="1" applyFont="1" applyFill="1" applyBorder="1" applyAlignment="1">
      <alignment horizontal="right" vertical="center" wrapText="1"/>
    </xf>
    <xf numFmtId="43" fontId="48" fillId="33" borderId="10" xfId="60" applyFont="1" applyFill="1" applyBorder="1" applyAlignment="1">
      <alignment vertical="center" wrapText="1"/>
    </xf>
    <xf numFmtId="43" fontId="53" fillId="33" borderId="11" xfId="60" applyFont="1" applyFill="1" applyBorder="1" applyAlignment="1">
      <alignment vertical="center"/>
    </xf>
    <xf numFmtId="4" fontId="53" fillId="33" borderId="18" xfId="0" applyNumberFormat="1" applyFont="1" applyFill="1" applyBorder="1" applyAlignment="1">
      <alignment horizontal="center" vertical="center" wrapText="1"/>
    </xf>
    <xf numFmtId="49" fontId="48" fillId="33" borderId="18" xfId="0" applyNumberFormat="1" applyFont="1" applyFill="1" applyBorder="1" applyAlignment="1">
      <alignment horizontal="center"/>
    </xf>
    <xf numFmtId="49" fontId="48" fillId="33" borderId="18" xfId="0" applyNumberFormat="1" applyFont="1" applyFill="1" applyBorder="1" applyAlignment="1">
      <alignment horizontal="center" wrapText="1"/>
    </xf>
    <xf numFmtId="49" fontId="54" fillId="33" borderId="24" xfId="0" applyNumberFormat="1" applyFont="1" applyFill="1" applyBorder="1" applyAlignment="1">
      <alignment horizontal="center"/>
    </xf>
    <xf numFmtId="49" fontId="54" fillId="33" borderId="24" xfId="0" applyNumberFormat="1" applyFont="1" applyFill="1" applyBorder="1" applyAlignment="1">
      <alignment wrapText="1" shrinkToFit="1"/>
    </xf>
    <xf numFmtId="49" fontId="54" fillId="33" borderId="0" xfId="0" applyNumberFormat="1" applyFont="1" applyFill="1" applyAlignment="1">
      <alignment horizontal="left"/>
    </xf>
    <xf numFmtId="49" fontId="49" fillId="33" borderId="0" xfId="0" applyNumberFormat="1" applyFont="1" applyFill="1" applyBorder="1" applyAlignment="1">
      <alignment horizontal="center" vertical="top"/>
    </xf>
    <xf numFmtId="49" fontId="49" fillId="33" borderId="0" xfId="0" applyNumberFormat="1" applyFont="1" applyFill="1" applyAlignment="1">
      <alignment horizontal="left" vertical="top"/>
    </xf>
    <xf numFmtId="49" fontId="48" fillId="33" borderId="0" xfId="0" applyNumberFormat="1" applyFont="1" applyFill="1" applyBorder="1" applyAlignment="1">
      <alignment horizontal="center" vertical="top"/>
    </xf>
    <xf numFmtId="0" fontId="0" fillId="33" borderId="0" xfId="0" applyFill="1" applyAlignment="1">
      <alignment horizontal="center"/>
    </xf>
    <xf numFmtId="49" fontId="54" fillId="33" borderId="0" xfId="0" applyNumberFormat="1" applyFont="1" applyFill="1" applyAlignment="1">
      <alignment wrapText="1" shrinkToFit="1"/>
    </xf>
    <xf numFmtId="49" fontId="54" fillId="33" borderId="0" xfId="0" applyNumberFormat="1" applyFont="1" applyFill="1" applyBorder="1" applyAlignment="1">
      <alignment horizontal="center"/>
    </xf>
    <xf numFmtId="49" fontId="54" fillId="33" borderId="0" xfId="0" applyNumberFormat="1" applyFont="1" applyFill="1" applyAlignment="1">
      <alignment horizontal="center"/>
    </xf>
    <xf numFmtId="49" fontId="49" fillId="33" borderId="0" xfId="0" applyNumberFormat="1" applyFont="1" applyFill="1" applyAlignment="1">
      <alignment horizontal="left"/>
    </xf>
    <xf numFmtId="49" fontId="49" fillId="33" borderId="0" xfId="0" applyNumberFormat="1" applyFont="1" applyFill="1" applyAlignment="1">
      <alignment wrapText="1" shrinkToFit="1"/>
    </xf>
    <xf numFmtId="49" fontId="49" fillId="33" borderId="0" xfId="0" applyNumberFormat="1" applyFont="1" applyFill="1" applyAlignment="1">
      <alignment horizontal="center"/>
    </xf>
    <xf numFmtId="49" fontId="48" fillId="33" borderId="11" xfId="0" applyNumberFormat="1" applyFont="1" applyFill="1" applyBorder="1" applyAlignment="1">
      <alignment horizontal="center" vertical="center"/>
    </xf>
    <xf numFmtId="49" fontId="48" fillId="33" borderId="12" xfId="0" applyNumberFormat="1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49" fontId="48" fillId="33" borderId="13" xfId="0" applyNumberFormat="1" applyFont="1" applyFill="1" applyBorder="1" applyAlignment="1">
      <alignment horizontal="center" vertical="center"/>
    </xf>
    <xf numFmtId="49" fontId="48" fillId="33" borderId="14" xfId="0" applyNumberFormat="1" applyFont="1" applyFill="1" applyBorder="1" applyAlignment="1">
      <alignment horizontal="center" vertical="center"/>
    </xf>
    <xf numFmtId="0" fontId="0" fillId="33" borderId="25" xfId="0" applyFill="1" applyBorder="1" applyAlignment="1">
      <alignment horizontal="center"/>
    </xf>
    <xf numFmtId="0" fontId="0" fillId="33" borderId="26" xfId="0" applyFill="1" applyBorder="1" applyAlignment="1">
      <alignment horizontal="center"/>
    </xf>
    <xf numFmtId="0" fontId="0" fillId="33" borderId="27" xfId="0" applyFill="1" applyBorder="1" applyAlignment="1">
      <alignment horizontal="center"/>
    </xf>
    <xf numFmtId="49" fontId="54" fillId="33" borderId="28" xfId="0" applyNumberFormat="1" applyFont="1" applyFill="1" applyBorder="1" applyAlignment="1">
      <alignment horizontal="center" vertical="center"/>
    </xf>
    <xf numFmtId="49" fontId="48" fillId="33" borderId="29" xfId="0" applyNumberFormat="1" applyFont="1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33" borderId="30" xfId="0" applyFill="1" applyBorder="1" applyAlignment="1">
      <alignment horizontal="center" vertical="center" wrapText="1"/>
    </xf>
    <xf numFmtId="49" fontId="48" fillId="33" borderId="20" xfId="0" applyNumberFormat="1" applyFont="1" applyFill="1" applyBorder="1" applyAlignment="1">
      <alignment horizontal="center" vertical="center"/>
    </xf>
    <xf numFmtId="49" fontId="48" fillId="33" borderId="22" xfId="0" applyNumberFormat="1" applyFont="1" applyFill="1" applyBorder="1" applyAlignment="1">
      <alignment horizontal="center" vertical="center"/>
    </xf>
    <xf numFmtId="49" fontId="48" fillId="33" borderId="31" xfId="0" applyNumberFormat="1" applyFont="1" applyFill="1" applyBorder="1" applyAlignment="1">
      <alignment horizontal="center" vertical="center"/>
    </xf>
    <xf numFmtId="49" fontId="49" fillId="33" borderId="28" xfId="0" applyNumberFormat="1" applyFont="1" applyFill="1" applyBorder="1" applyAlignment="1">
      <alignment horizontal="center" vertical="center"/>
    </xf>
    <xf numFmtId="49" fontId="48" fillId="33" borderId="32" xfId="0" applyNumberFormat="1" applyFont="1" applyFill="1" applyBorder="1" applyAlignment="1">
      <alignment horizontal="center" vertical="center"/>
    </xf>
    <xf numFmtId="49" fontId="48" fillId="33" borderId="28" xfId="0" applyNumberFormat="1" applyFont="1" applyFill="1" applyBorder="1" applyAlignment="1">
      <alignment horizontal="center" vertical="center"/>
    </xf>
    <xf numFmtId="49" fontId="48" fillId="33" borderId="33" xfId="0" applyNumberFormat="1" applyFont="1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49" fontId="53" fillId="33" borderId="25" xfId="0" applyNumberFormat="1" applyFont="1" applyFill="1" applyBorder="1" applyAlignment="1">
      <alignment horizontal="left" vertical="center"/>
    </xf>
    <xf numFmtId="49" fontId="53" fillId="33" borderId="26" xfId="0" applyNumberFormat="1" applyFont="1" applyFill="1" applyBorder="1" applyAlignment="1">
      <alignment horizontal="left" vertical="center"/>
    </xf>
    <xf numFmtId="49" fontId="53" fillId="33" borderId="27" xfId="0" applyNumberFormat="1" applyFont="1" applyFill="1" applyBorder="1" applyAlignment="1">
      <alignment horizontal="left" vertical="center"/>
    </xf>
    <xf numFmtId="49" fontId="53" fillId="33" borderId="20" xfId="0" applyNumberFormat="1" applyFont="1" applyFill="1" applyBorder="1" applyAlignment="1">
      <alignment horizontal="center" vertical="center"/>
    </xf>
    <xf numFmtId="49" fontId="53" fillId="33" borderId="22" xfId="0" applyNumberFormat="1" applyFont="1" applyFill="1" applyBorder="1" applyAlignment="1">
      <alignment horizontal="center" vertical="center"/>
    </xf>
    <xf numFmtId="49" fontId="53" fillId="33" borderId="31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53" fillId="33" borderId="34" xfId="0" applyNumberFormat="1" applyFont="1" applyFill="1" applyBorder="1" applyAlignment="1">
      <alignment horizontal="center" vertical="center"/>
    </xf>
    <xf numFmtId="49" fontId="53" fillId="33" borderId="17" xfId="0" applyNumberFormat="1" applyFont="1" applyFill="1" applyBorder="1" applyAlignment="1">
      <alignment horizontal="center" vertical="center"/>
    </xf>
    <xf numFmtId="49" fontId="53" fillId="33" borderId="35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 wrapText="1"/>
    </xf>
    <xf numFmtId="49" fontId="48" fillId="0" borderId="20" xfId="0" applyNumberFormat="1" applyFont="1" applyFill="1" applyBorder="1" applyAlignment="1">
      <alignment horizontal="center" vertical="center"/>
    </xf>
    <xf numFmtId="49" fontId="48" fillId="0" borderId="22" xfId="0" applyNumberFormat="1" applyFont="1" applyFill="1" applyBorder="1" applyAlignment="1">
      <alignment horizontal="center" vertical="center"/>
    </xf>
    <xf numFmtId="49" fontId="48" fillId="0" borderId="31" xfId="0" applyNumberFormat="1" applyFont="1" applyFill="1" applyBorder="1" applyAlignment="1">
      <alignment horizontal="center" vertical="center"/>
    </xf>
    <xf numFmtId="49" fontId="53" fillId="0" borderId="32" xfId="0" applyNumberFormat="1" applyFont="1" applyFill="1" applyBorder="1" applyAlignment="1">
      <alignment horizontal="center"/>
    </xf>
    <xf numFmtId="49" fontId="53" fillId="0" borderId="28" xfId="0" applyNumberFormat="1" applyFont="1" applyFill="1" applyBorder="1" applyAlignment="1">
      <alignment horizontal="center"/>
    </xf>
    <xf numFmtId="49" fontId="53" fillId="0" borderId="33" xfId="0" applyNumberFormat="1" applyFont="1" applyFill="1" applyBorder="1" applyAlignment="1">
      <alignment horizontal="center"/>
    </xf>
    <xf numFmtId="49" fontId="48" fillId="0" borderId="15" xfId="0" applyNumberFormat="1" applyFont="1" applyFill="1" applyBorder="1" applyAlignment="1">
      <alignment horizontal="center" vertical="center" wrapText="1"/>
    </xf>
    <xf numFmtId="49" fontId="48" fillId="0" borderId="18" xfId="0" applyNumberFormat="1" applyFont="1" applyFill="1" applyBorder="1" applyAlignment="1">
      <alignment horizontal="center" vertical="center" wrapText="1"/>
    </xf>
    <xf numFmtId="49" fontId="48" fillId="0" borderId="20" xfId="0" applyNumberFormat="1" applyFont="1" applyFill="1" applyBorder="1" applyAlignment="1">
      <alignment horizontal="center" vertical="center" wrapText="1"/>
    </xf>
    <xf numFmtId="49" fontId="48" fillId="0" borderId="31" xfId="0" applyNumberFormat="1" applyFont="1" applyFill="1" applyBorder="1" applyAlignment="1">
      <alignment horizontal="center" vertical="center" wrapText="1"/>
    </xf>
    <xf numFmtId="49" fontId="48" fillId="0" borderId="15" xfId="0" applyNumberFormat="1" applyFont="1" applyFill="1" applyBorder="1" applyAlignment="1">
      <alignment vertical="center" wrapText="1" shrinkToFit="1"/>
    </xf>
    <xf numFmtId="49" fontId="48" fillId="0" borderId="18" xfId="0" applyNumberFormat="1" applyFont="1" applyFill="1" applyBorder="1" applyAlignment="1">
      <alignment vertical="center" wrapText="1" shrinkToFit="1"/>
    </xf>
    <xf numFmtId="0" fontId="0" fillId="0" borderId="22" xfId="0" applyFill="1" applyBorder="1" applyAlignment="1">
      <alignment horizontal="center"/>
    </xf>
    <xf numFmtId="49" fontId="48" fillId="0" borderId="15" xfId="0" applyNumberFormat="1" applyFont="1" applyFill="1" applyBorder="1" applyAlignment="1">
      <alignment horizontal="center" vertical="center" textRotation="90" wrapText="1"/>
    </xf>
    <xf numFmtId="49" fontId="48" fillId="0" borderId="19" xfId="0" applyNumberFormat="1" applyFont="1" applyFill="1" applyBorder="1" applyAlignment="1">
      <alignment horizontal="center" vertical="center" textRotation="90" wrapText="1"/>
    </xf>
    <xf numFmtId="49" fontId="48" fillId="0" borderId="18" xfId="0" applyNumberFormat="1" applyFont="1" applyFill="1" applyBorder="1" applyAlignment="1">
      <alignment horizontal="center" vertical="center" textRotation="90" wrapText="1"/>
    </xf>
    <xf numFmtId="49" fontId="48" fillId="0" borderId="22" xfId="0" applyNumberFormat="1" applyFont="1" applyFill="1" applyBorder="1" applyAlignment="1">
      <alignment horizontal="center" vertical="center" wrapText="1"/>
    </xf>
    <xf numFmtId="49" fontId="48" fillId="0" borderId="19" xfId="0" applyNumberFormat="1" applyFont="1" applyFill="1" applyBorder="1" applyAlignment="1">
      <alignment horizontal="center" vertical="center" wrapText="1"/>
    </xf>
    <xf numFmtId="49" fontId="48" fillId="0" borderId="32" xfId="0" applyNumberFormat="1" applyFont="1" applyFill="1" applyBorder="1" applyAlignment="1">
      <alignment horizontal="center" vertical="center" wrapText="1"/>
    </xf>
    <xf numFmtId="49" fontId="48" fillId="0" borderId="28" xfId="0" applyNumberFormat="1" applyFont="1" applyFill="1" applyBorder="1" applyAlignment="1">
      <alignment horizontal="center" vertical="center" wrapText="1"/>
    </xf>
    <xf numFmtId="49" fontId="48" fillId="0" borderId="33" xfId="0" applyNumberFormat="1" applyFont="1" applyFill="1" applyBorder="1" applyAlignment="1">
      <alignment horizontal="center" vertical="center" wrapText="1"/>
    </xf>
    <xf numFmtId="49" fontId="48" fillId="0" borderId="29" xfId="0" applyNumberFormat="1" applyFont="1" applyFill="1" applyBorder="1" applyAlignment="1">
      <alignment horizontal="center" vertical="center" wrapText="1"/>
    </xf>
    <xf numFmtId="49" fontId="48" fillId="0" borderId="24" xfId="0" applyNumberFormat="1" applyFont="1" applyFill="1" applyBorder="1" applyAlignment="1">
      <alignment horizontal="center" vertical="center" wrapText="1"/>
    </xf>
    <xf numFmtId="49" fontId="48" fillId="0" borderId="30" xfId="0" applyNumberFormat="1" applyFont="1" applyFill="1" applyBorder="1" applyAlignment="1">
      <alignment horizontal="center" vertical="center" wrapText="1"/>
    </xf>
    <xf numFmtId="49" fontId="49" fillId="0" borderId="22" xfId="0" applyNumberFormat="1" applyFont="1" applyFill="1" applyBorder="1" applyAlignment="1">
      <alignment horizontal="left" vertical="center"/>
    </xf>
    <xf numFmtId="49" fontId="49" fillId="0" borderId="31" xfId="0" applyNumberFormat="1" applyFont="1" applyFill="1" applyBorder="1" applyAlignment="1">
      <alignment horizontal="left" vertical="center"/>
    </xf>
    <xf numFmtId="0" fontId="0" fillId="0" borderId="24" xfId="0" applyFill="1" applyBorder="1" applyAlignment="1">
      <alignment horizontal="center"/>
    </xf>
    <xf numFmtId="49" fontId="49" fillId="0" borderId="0" xfId="0" applyNumberFormat="1" applyFont="1" applyFill="1" applyAlignment="1">
      <alignment horizontal="right" vertical="center"/>
    </xf>
    <xf numFmtId="0" fontId="0" fillId="0" borderId="0" xfId="0" applyFill="1" applyBorder="1" applyAlignment="1">
      <alignment/>
    </xf>
    <xf numFmtId="49" fontId="55" fillId="0" borderId="0" xfId="0" applyNumberFormat="1" applyFont="1" applyFill="1" applyBorder="1" applyAlignment="1">
      <alignment horizontal="center" vertical="center"/>
    </xf>
    <xf numFmtId="49" fontId="55" fillId="0" borderId="0" xfId="0" applyNumberFormat="1" applyFont="1" applyFill="1" applyAlignment="1">
      <alignment horizontal="center" vertical="center"/>
    </xf>
    <xf numFmtId="49" fontId="49" fillId="0" borderId="0" xfId="0" applyNumberFormat="1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15"/>
  <sheetViews>
    <sheetView tabSelected="1" zoomScalePageLayoutView="0" workbookViewId="0" topLeftCell="A1">
      <selection activeCell="D18" sqref="D18:D19"/>
    </sheetView>
  </sheetViews>
  <sheetFormatPr defaultColWidth="0.85546875" defaultRowHeight="15"/>
  <cols>
    <col min="1" max="1" width="6.140625" style="5" customWidth="1"/>
    <col min="2" max="2" width="8.00390625" style="5" customWidth="1"/>
    <col min="3" max="3" width="11.00390625" style="5" customWidth="1"/>
    <col min="4" max="4" width="38.421875" style="12" customWidth="1"/>
    <col min="5" max="5" width="22.28125" style="5" customWidth="1"/>
    <col min="6" max="6" width="9.00390625" style="5" customWidth="1"/>
    <col min="7" max="7" width="7.57421875" style="5" customWidth="1"/>
    <col min="8" max="8" width="12.8515625" style="5" customWidth="1"/>
    <col min="9" max="9" width="11.28125" style="5" customWidth="1"/>
    <col min="10" max="10" width="8.7109375" style="5" customWidth="1"/>
    <col min="11" max="11" width="18.00390625" style="5" customWidth="1"/>
    <col min="12" max="12" width="15.00390625" style="5" customWidth="1"/>
    <col min="13" max="13" width="13.8515625" style="5" customWidth="1"/>
    <col min="14" max="14" width="13.28125" style="5" customWidth="1"/>
    <col min="15" max="15" width="3.28125" style="8" bestFit="1" customWidth="1"/>
    <col min="16" max="21" width="0.85546875" style="9" customWidth="1"/>
    <col min="22" max="22" width="1.1484375" style="9" customWidth="1"/>
    <col min="23" max="16384" width="0.85546875" style="1" customWidth="1"/>
  </cols>
  <sheetData>
    <row r="1" spans="13:22" ht="15">
      <c r="M1" s="125" t="s">
        <v>0</v>
      </c>
      <c r="N1" s="125"/>
      <c r="O1" s="125"/>
      <c r="P1" s="125"/>
      <c r="Q1" s="125"/>
      <c r="R1" s="125"/>
      <c r="S1" s="125"/>
      <c r="T1" s="125"/>
      <c r="U1" s="125"/>
      <c r="V1" s="125"/>
    </row>
    <row r="2" spans="13:22" ht="15">
      <c r="M2" s="125" t="s">
        <v>1</v>
      </c>
      <c r="N2" s="125"/>
      <c r="O2" s="125"/>
      <c r="P2" s="125"/>
      <c r="Q2" s="125"/>
      <c r="R2" s="125"/>
      <c r="S2" s="125"/>
      <c r="T2" s="125"/>
      <c r="U2" s="125"/>
      <c r="V2" s="125"/>
    </row>
    <row r="3" spans="13:22" ht="15">
      <c r="M3" s="125" t="s">
        <v>2</v>
      </c>
      <c r="N3" s="125"/>
      <c r="O3" s="125"/>
      <c r="P3" s="125"/>
      <c r="Q3" s="125"/>
      <c r="R3" s="125"/>
      <c r="S3" s="125"/>
      <c r="T3" s="125"/>
      <c r="U3" s="125"/>
      <c r="V3" s="125"/>
    </row>
    <row r="4" spans="13:22" ht="15">
      <c r="M4" s="6"/>
      <c r="N4" s="7"/>
      <c r="O4" s="129"/>
      <c r="P4" s="129"/>
      <c r="Q4" s="129"/>
      <c r="R4" s="129"/>
      <c r="S4" s="129"/>
      <c r="T4" s="129"/>
      <c r="U4" s="129"/>
      <c r="V4" s="129"/>
    </row>
    <row r="5" spans="1:22" s="2" customFormat="1" ht="15">
      <c r="A5" s="126"/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</row>
    <row r="6" spans="1:22" s="2" customFormat="1" ht="15">
      <c r="A6" s="127" t="s">
        <v>3</v>
      </c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</row>
    <row r="7" spans="1:22" s="2" customFormat="1" ht="15">
      <c r="A7" s="128" t="s">
        <v>272</v>
      </c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</row>
    <row r="8" spans="1:22" s="2" customFormat="1" ht="15">
      <c r="A8" s="5"/>
      <c r="B8" s="5"/>
      <c r="C8" s="5"/>
      <c r="D8" s="12"/>
      <c r="E8" s="5"/>
      <c r="F8" s="5"/>
      <c r="G8" s="5"/>
      <c r="H8" s="5"/>
      <c r="I8" s="5"/>
      <c r="J8" s="5"/>
      <c r="K8" s="5"/>
      <c r="L8" s="5"/>
      <c r="M8" s="5"/>
      <c r="N8" s="5"/>
      <c r="O8" s="124"/>
      <c r="P8" s="124"/>
      <c r="Q8" s="124"/>
      <c r="R8" s="124"/>
      <c r="S8" s="124"/>
      <c r="T8" s="124"/>
      <c r="U8" s="124"/>
      <c r="V8" s="124"/>
    </row>
    <row r="9" spans="1:22" s="2" customFormat="1" ht="15">
      <c r="A9" s="122" t="s">
        <v>4</v>
      </c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3"/>
    </row>
    <row r="10" spans="1:22" s="2" customFormat="1" ht="15">
      <c r="A10" s="122" t="s">
        <v>5</v>
      </c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3"/>
    </row>
    <row r="11" spans="1:22" s="2" customFormat="1" ht="15">
      <c r="A11" s="122" t="s">
        <v>6</v>
      </c>
      <c r="B11" s="122"/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3"/>
    </row>
    <row r="12" spans="1:22" s="2" customFormat="1" ht="15">
      <c r="A12" s="122" t="s">
        <v>7</v>
      </c>
      <c r="B12" s="122"/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3"/>
    </row>
    <row r="13" spans="1:22" s="2" customFormat="1" ht="15">
      <c r="A13" s="122" t="s">
        <v>8</v>
      </c>
      <c r="B13" s="122"/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23"/>
    </row>
    <row r="14" spans="1:22" s="2" customFormat="1" ht="15">
      <c r="A14" s="122" t="s">
        <v>9</v>
      </c>
      <c r="B14" s="122"/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3"/>
    </row>
    <row r="15" spans="1:22" s="2" customFormat="1" ht="15">
      <c r="A15" s="122" t="s">
        <v>10</v>
      </c>
      <c r="B15" s="122"/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2"/>
      <c r="V15" s="123"/>
    </row>
    <row r="16" spans="1:22" s="2" customFormat="1" ht="15">
      <c r="A16" s="5"/>
      <c r="B16" s="5"/>
      <c r="C16" s="5"/>
      <c r="D16" s="12"/>
      <c r="E16" s="5"/>
      <c r="F16" s="5"/>
      <c r="G16" s="5"/>
      <c r="H16" s="5"/>
      <c r="I16" s="5"/>
      <c r="J16" s="5"/>
      <c r="K16" s="5"/>
      <c r="L16" s="5"/>
      <c r="M16" s="5"/>
      <c r="N16" s="5"/>
      <c r="O16" s="110"/>
      <c r="P16" s="110"/>
      <c r="Q16" s="110"/>
      <c r="R16" s="110"/>
      <c r="S16" s="110"/>
      <c r="T16" s="110"/>
      <c r="U16" s="110"/>
      <c r="V16" s="110"/>
    </row>
    <row r="17" spans="1:22" ht="15" customHeight="1">
      <c r="A17" s="111" t="s">
        <v>11</v>
      </c>
      <c r="B17" s="111" t="s">
        <v>12</v>
      </c>
      <c r="C17" s="111" t="s">
        <v>13</v>
      </c>
      <c r="D17" s="106" t="s">
        <v>14</v>
      </c>
      <c r="E17" s="114"/>
      <c r="F17" s="114"/>
      <c r="G17" s="114"/>
      <c r="H17" s="114"/>
      <c r="I17" s="114"/>
      <c r="J17" s="114"/>
      <c r="K17" s="114"/>
      <c r="L17" s="114"/>
      <c r="M17" s="107"/>
      <c r="N17" s="104" t="s">
        <v>15</v>
      </c>
      <c r="O17" s="116" t="s">
        <v>16</v>
      </c>
      <c r="P17" s="117"/>
      <c r="Q17" s="117"/>
      <c r="R17" s="117"/>
      <c r="S17" s="117"/>
      <c r="T17" s="117"/>
      <c r="U17" s="117"/>
      <c r="V17" s="118"/>
    </row>
    <row r="18" spans="1:22" ht="71.25" customHeight="1">
      <c r="A18" s="112"/>
      <c r="B18" s="112"/>
      <c r="C18" s="112"/>
      <c r="D18" s="108" t="s">
        <v>17</v>
      </c>
      <c r="E18" s="104" t="s">
        <v>18</v>
      </c>
      <c r="F18" s="106" t="s">
        <v>19</v>
      </c>
      <c r="G18" s="107"/>
      <c r="H18" s="104" t="s">
        <v>20</v>
      </c>
      <c r="I18" s="106" t="s">
        <v>21</v>
      </c>
      <c r="J18" s="107"/>
      <c r="K18" s="104" t="s">
        <v>22</v>
      </c>
      <c r="L18" s="106" t="s">
        <v>23</v>
      </c>
      <c r="M18" s="107"/>
      <c r="N18" s="115"/>
      <c r="O18" s="119"/>
      <c r="P18" s="120"/>
      <c r="Q18" s="120"/>
      <c r="R18" s="120"/>
      <c r="S18" s="120"/>
      <c r="T18" s="120"/>
      <c r="U18" s="120"/>
      <c r="V18" s="121"/>
    </row>
    <row r="19" spans="1:22" ht="72">
      <c r="A19" s="113"/>
      <c r="B19" s="113"/>
      <c r="C19" s="113"/>
      <c r="D19" s="109"/>
      <c r="E19" s="105"/>
      <c r="F19" s="10" t="s">
        <v>24</v>
      </c>
      <c r="G19" s="10" t="s">
        <v>25</v>
      </c>
      <c r="H19" s="105"/>
      <c r="I19" s="10" t="s">
        <v>26</v>
      </c>
      <c r="J19" s="10" t="s">
        <v>25</v>
      </c>
      <c r="K19" s="105"/>
      <c r="L19" s="4" t="s">
        <v>27</v>
      </c>
      <c r="M19" s="4" t="s">
        <v>28</v>
      </c>
      <c r="N19" s="105"/>
      <c r="O19" s="106" t="s">
        <v>29</v>
      </c>
      <c r="P19" s="114"/>
      <c r="Q19" s="114"/>
      <c r="R19" s="114"/>
      <c r="S19" s="114"/>
      <c r="T19" s="114"/>
      <c r="U19" s="114"/>
      <c r="V19" s="107"/>
    </row>
    <row r="20" spans="1:22" ht="15">
      <c r="A20" s="11" t="s">
        <v>30</v>
      </c>
      <c r="B20" s="11" t="s">
        <v>31</v>
      </c>
      <c r="C20" s="11" t="s">
        <v>32</v>
      </c>
      <c r="D20" s="13">
        <v>4</v>
      </c>
      <c r="E20" s="11">
        <v>5</v>
      </c>
      <c r="F20" s="11">
        <v>6</v>
      </c>
      <c r="G20" s="11">
        <v>7</v>
      </c>
      <c r="H20" s="11">
        <v>8</v>
      </c>
      <c r="I20" s="11">
        <v>9</v>
      </c>
      <c r="J20" s="11">
        <v>10</v>
      </c>
      <c r="K20" s="11">
        <v>11</v>
      </c>
      <c r="L20" s="11">
        <v>12</v>
      </c>
      <c r="M20" s="11">
        <v>13</v>
      </c>
      <c r="N20" s="11">
        <v>14</v>
      </c>
      <c r="O20" s="98">
        <v>15</v>
      </c>
      <c r="P20" s="99"/>
      <c r="Q20" s="99"/>
      <c r="R20" s="99"/>
      <c r="S20" s="99"/>
      <c r="T20" s="99"/>
      <c r="U20" s="99"/>
      <c r="V20" s="100"/>
    </row>
    <row r="21" spans="1:22" ht="15">
      <c r="A21" s="101" t="s">
        <v>33</v>
      </c>
      <c r="B21" s="102"/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3"/>
    </row>
    <row r="22" spans="1:22" s="3" customFormat="1" ht="72">
      <c r="A22" s="23" t="s">
        <v>30</v>
      </c>
      <c r="B22" s="14" t="s">
        <v>34</v>
      </c>
      <c r="C22" s="23" t="s">
        <v>45</v>
      </c>
      <c r="D22" s="27" t="s">
        <v>176</v>
      </c>
      <c r="E22" s="16" t="s">
        <v>35</v>
      </c>
      <c r="F22" s="23" t="s">
        <v>36</v>
      </c>
      <c r="G22" s="14" t="s">
        <v>37</v>
      </c>
      <c r="H22" s="14" t="s">
        <v>42</v>
      </c>
      <c r="I22" s="23" t="s">
        <v>38</v>
      </c>
      <c r="J22" s="14" t="s">
        <v>39</v>
      </c>
      <c r="K22" s="17">
        <f>1012000*1.18</f>
        <v>1194160</v>
      </c>
      <c r="L22" s="23" t="s">
        <v>133</v>
      </c>
      <c r="M22" s="23" t="s">
        <v>144</v>
      </c>
      <c r="N22" s="14" t="s">
        <v>43</v>
      </c>
      <c r="O22" s="67" t="s">
        <v>41</v>
      </c>
      <c r="P22" s="70"/>
      <c r="Q22" s="70"/>
      <c r="R22" s="70"/>
      <c r="S22" s="70"/>
      <c r="T22" s="70"/>
      <c r="U22" s="70"/>
      <c r="V22" s="71"/>
    </row>
    <row r="23" spans="1:22" s="3" customFormat="1" ht="72">
      <c r="A23" s="23" t="s">
        <v>31</v>
      </c>
      <c r="B23" s="14" t="s">
        <v>34</v>
      </c>
      <c r="C23" s="23" t="s">
        <v>45</v>
      </c>
      <c r="D23" s="27" t="s">
        <v>183</v>
      </c>
      <c r="E23" s="16" t="s">
        <v>35</v>
      </c>
      <c r="F23" s="23" t="s">
        <v>36</v>
      </c>
      <c r="G23" s="14" t="s">
        <v>37</v>
      </c>
      <c r="H23" s="14" t="s">
        <v>42</v>
      </c>
      <c r="I23" s="23" t="s">
        <v>38</v>
      </c>
      <c r="J23" s="14" t="s">
        <v>39</v>
      </c>
      <c r="K23" s="17">
        <f>560000*1.18</f>
        <v>660800</v>
      </c>
      <c r="L23" s="23" t="s">
        <v>133</v>
      </c>
      <c r="M23" s="23" t="s">
        <v>144</v>
      </c>
      <c r="N23" s="14" t="s">
        <v>49</v>
      </c>
      <c r="O23" s="67" t="s">
        <v>41</v>
      </c>
      <c r="P23" s="70"/>
      <c r="Q23" s="70"/>
      <c r="R23" s="70"/>
      <c r="S23" s="70"/>
      <c r="T23" s="70"/>
      <c r="U23" s="70"/>
      <c r="V23" s="71"/>
    </row>
    <row r="24" spans="1:22" s="3" customFormat="1" ht="72">
      <c r="A24" s="23" t="s">
        <v>32</v>
      </c>
      <c r="B24" s="14" t="s">
        <v>34</v>
      </c>
      <c r="C24" s="23" t="s">
        <v>45</v>
      </c>
      <c r="D24" s="27" t="s">
        <v>188</v>
      </c>
      <c r="E24" s="16" t="s">
        <v>35</v>
      </c>
      <c r="F24" s="23" t="s">
        <v>36</v>
      </c>
      <c r="G24" s="14" t="s">
        <v>37</v>
      </c>
      <c r="H24" s="14" t="s">
        <v>42</v>
      </c>
      <c r="I24" s="23" t="s">
        <v>38</v>
      </c>
      <c r="J24" s="14" t="s">
        <v>39</v>
      </c>
      <c r="K24" s="17">
        <f>400000*1.18</f>
        <v>472000</v>
      </c>
      <c r="L24" s="23" t="s">
        <v>133</v>
      </c>
      <c r="M24" s="23" t="s">
        <v>144</v>
      </c>
      <c r="N24" s="14" t="s">
        <v>49</v>
      </c>
      <c r="O24" s="67" t="s">
        <v>41</v>
      </c>
      <c r="P24" s="70"/>
      <c r="Q24" s="70"/>
      <c r="R24" s="70"/>
      <c r="S24" s="70"/>
      <c r="T24" s="70"/>
      <c r="U24" s="70"/>
      <c r="V24" s="71"/>
    </row>
    <row r="25" spans="1:22" s="3" customFormat="1" ht="72">
      <c r="A25" s="23" t="s">
        <v>44</v>
      </c>
      <c r="B25" s="14" t="s">
        <v>34</v>
      </c>
      <c r="C25" s="23" t="s">
        <v>45</v>
      </c>
      <c r="D25" s="27" t="s">
        <v>185</v>
      </c>
      <c r="E25" s="16" t="s">
        <v>35</v>
      </c>
      <c r="F25" s="23" t="s">
        <v>36</v>
      </c>
      <c r="G25" s="14" t="s">
        <v>37</v>
      </c>
      <c r="H25" s="14" t="s">
        <v>32</v>
      </c>
      <c r="I25" s="23" t="s">
        <v>38</v>
      </c>
      <c r="J25" s="14" t="s">
        <v>39</v>
      </c>
      <c r="K25" s="17">
        <f>420000*1.18</f>
        <v>495600</v>
      </c>
      <c r="L25" s="23" t="s">
        <v>133</v>
      </c>
      <c r="M25" s="23" t="s">
        <v>144</v>
      </c>
      <c r="N25" s="14" t="s">
        <v>49</v>
      </c>
      <c r="O25" s="67" t="s">
        <v>41</v>
      </c>
      <c r="P25" s="70"/>
      <c r="Q25" s="70"/>
      <c r="R25" s="70"/>
      <c r="S25" s="70"/>
      <c r="T25" s="70"/>
      <c r="U25" s="70"/>
      <c r="V25" s="71"/>
    </row>
    <row r="26" spans="1:22" s="3" customFormat="1" ht="72">
      <c r="A26" s="23" t="s">
        <v>242</v>
      </c>
      <c r="B26" s="14" t="s">
        <v>34</v>
      </c>
      <c r="C26" s="23" t="s">
        <v>45</v>
      </c>
      <c r="D26" s="27" t="s">
        <v>184</v>
      </c>
      <c r="E26" s="16" t="s">
        <v>35</v>
      </c>
      <c r="F26" s="23" t="s">
        <v>36</v>
      </c>
      <c r="G26" s="14" t="s">
        <v>37</v>
      </c>
      <c r="H26" s="14" t="s">
        <v>30</v>
      </c>
      <c r="I26" s="23" t="s">
        <v>38</v>
      </c>
      <c r="J26" s="14" t="s">
        <v>39</v>
      </c>
      <c r="K26" s="17">
        <f>300000*1.18</f>
        <v>354000</v>
      </c>
      <c r="L26" s="23" t="s">
        <v>133</v>
      </c>
      <c r="M26" s="23" t="s">
        <v>144</v>
      </c>
      <c r="N26" s="14" t="s">
        <v>49</v>
      </c>
      <c r="O26" s="67" t="s">
        <v>41</v>
      </c>
      <c r="P26" s="70"/>
      <c r="Q26" s="70"/>
      <c r="R26" s="70"/>
      <c r="S26" s="70"/>
      <c r="T26" s="70"/>
      <c r="U26" s="70"/>
      <c r="V26" s="71"/>
    </row>
    <row r="27" spans="1:22" s="3" customFormat="1" ht="72">
      <c r="A27" s="23" t="s">
        <v>46</v>
      </c>
      <c r="B27" s="14" t="s">
        <v>34</v>
      </c>
      <c r="C27" s="14" t="s">
        <v>206</v>
      </c>
      <c r="D27" s="27" t="s">
        <v>207</v>
      </c>
      <c r="E27" s="16" t="s">
        <v>35</v>
      </c>
      <c r="F27" s="23" t="s">
        <v>36</v>
      </c>
      <c r="G27" s="14" t="s">
        <v>37</v>
      </c>
      <c r="H27" s="14" t="s">
        <v>42</v>
      </c>
      <c r="I27" s="23" t="s">
        <v>38</v>
      </c>
      <c r="J27" s="14" t="s">
        <v>39</v>
      </c>
      <c r="K27" s="17">
        <f>164910300*1.18</f>
        <v>194594154</v>
      </c>
      <c r="L27" s="23" t="s">
        <v>133</v>
      </c>
      <c r="M27" s="23" t="s">
        <v>144</v>
      </c>
      <c r="N27" s="14" t="s">
        <v>43</v>
      </c>
      <c r="O27" s="67" t="s">
        <v>41</v>
      </c>
      <c r="P27" s="70"/>
      <c r="Q27" s="70"/>
      <c r="R27" s="70"/>
      <c r="S27" s="70"/>
      <c r="T27" s="70"/>
      <c r="U27" s="70"/>
      <c r="V27" s="71"/>
    </row>
    <row r="28" spans="1:22" s="3" customFormat="1" ht="72">
      <c r="A28" s="23" t="s">
        <v>47</v>
      </c>
      <c r="B28" s="14" t="s">
        <v>34</v>
      </c>
      <c r="C28" s="23" t="s">
        <v>45</v>
      </c>
      <c r="D28" s="27" t="s">
        <v>178</v>
      </c>
      <c r="E28" s="16" t="s">
        <v>35</v>
      </c>
      <c r="F28" s="23" t="s">
        <v>36</v>
      </c>
      <c r="G28" s="14" t="s">
        <v>37</v>
      </c>
      <c r="H28" s="23" t="s">
        <v>31</v>
      </c>
      <c r="I28" s="23" t="s">
        <v>38</v>
      </c>
      <c r="J28" s="14" t="s">
        <v>39</v>
      </c>
      <c r="K28" s="17">
        <f>161600*1.18</f>
        <v>190688</v>
      </c>
      <c r="L28" s="23" t="s">
        <v>144</v>
      </c>
      <c r="M28" s="23" t="s">
        <v>144</v>
      </c>
      <c r="N28" s="14" t="s">
        <v>49</v>
      </c>
      <c r="O28" s="67" t="s">
        <v>41</v>
      </c>
      <c r="P28" s="70"/>
      <c r="Q28" s="70"/>
      <c r="R28" s="70"/>
      <c r="S28" s="70"/>
      <c r="T28" s="70"/>
      <c r="U28" s="70"/>
      <c r="V28" s="71"/>
    </row>
    <row r="29" spans="1:22" s="3" customFormat="1" ht="72">
      <c r="A29" s="23" t="s">
        <v>48</v>
      </c>
      <c r="B29" s="14" t="s">
        <v>34</v>
      </c>
      <c r="C29" s="23" t="s">
        <v>45</v>
      </c>
      <c r="D29" s="27" t="s">
        <v>179</v>
      </c>
      <c r="E29" s="16" t="s">
        <v>35</v>
      </c>
      <c r="F29" s="23" t="s">
        <v>36</v>
      </c>
      <c r="G29" s="14" t="s">
        <v>37</v>
      </c>
      <c r="H29" s="14" t="s">
        <v>32</v>
      </c>
      <c r="I29" s="23" t="s">
        <v>38</v>
      </c>
      <c r="J29" s="14" t="s">
        <v>39</v>
      </c>
      <c r="K29" s="17">
        <f>168000*1.18</f>
        <v>198240</v>
      </c>
      <c r="L29" s="23" t="s">
        <v>144</v>
      </c>
      <c r="M29" s="23" t="s">
        <v>144</v>
      </c>
      <c r="N29" s="14" t="s">
        <v>49</v>
      </c>
      <c r="O29" s="66" t="s">
        <v>41</v>
      </c>
      <c r="P29" s="66"/>
      <c r="Q29" s="66"/>
      <c r="R29" s="66"/>
      <c r="S29" s="66"/>
      <c r="T29" s="66"/>
      <c r="U29" s="66"/>
      <c r="V29" s="66"/>
    </row>
    <row r="30" spans="1:22" s="3" customFormat="1" ht="72">
      <c r="A30" s="23" t="s">
        <v>243</v>
      </c>
      <c r="B30" s="14" t="s">
        <v>34</v>
      </c>
      <c r="C30" s="23" t="s">
        <v>50</v>
      </c>
      <c r="D30" s="27" t="s">
        <v>219</v>
      </c>
      <c r="E30" s="16" t="s">
        <v>35</v>
      </c>
      <c r="F30" s="23" t="s">
        <v>36</v>
      </c>
      <c r="G30" s="14" t="s">
        <v>37</v>
      </c>
      <c r="H30" s="14" t="s">
        <v>42</v>
      </c>
      <c r="I30" s="23" t="s">
        <v>38</v>
      </c>
      <c r="J30" s="14" t="s">
        <v>39</v>
      </c>
      <c r="K30" s="17">
        <f>7041000*1.18</f>
        <v>8308380</v>
      </c>
      <c r="L30" s="23" t="s">
        <v>144</v>
      </c>
      <c r="M30" s="23" t="s">
        <v>134</v>
      </c>
      <c r="N30" s="14" t="s">
        <v>43</v>
      </c>
      <c r="O30" s="66" t="s">
        <v>41</v>
      </c>
      <c r="P30" s="66"/>
      <c r="Q30" s="66"/>
      <c r="R30" s="66"/>
      <c r="S30" s="66"/>
      <c r="T30" s="66"/>
      <c r="U30" s="66"/>
      <c r="V30" s="66"/>
    </row>
    <row r="31" spans="1:22" s="3" customFormat="1" ht="72">
      <c r="A31" s="23" t="s">
        <v>244</v>
      </c>
      <c r="B31" s="14" t="s">
        <v>34</v>
      </c>
      <c r="C31" s="23" t="s">
        <v>45</v>
      </c>
      <c r="D31" s="15" t="s">
        <v>165</v>
      </c>
      <c r="E31" s="16" t="s">
        <v>35</v>
      </c>
      <c r="F31" s="23" t="s">
        <v>36</v>
      </c>
      <c r="G31" s="14" t="s">
        <v>37</v>
      </c>
      <c r="H31" s="14" t="s">
        <v>42</v>
      </c>
      <c r="I31" s="23" t="s">
        <v>38</v>
      </c>
      <c r="J31" s="14" t="s">
        <v>39</v>
      </c>
      <c r="K31" s="17">
        <f>1000000*1.18</f>
        <v>1180000</v>
      </c>
      <c r="L31" s="23" t="s">
        <v>144</v>
      </c>
      <c r="M31" s="14" t="s">
        <v>144</v>
      </c>
      <c r="N31" s="14" t="s">
        <v>167</v>
      </c>
      <c r="O31" s="66" t="s">
        <v>41</v>
      </c>
      <c r="P31" s="66"/>
      <c r="Q31" s="66"/>
      <c r="R31" s="66"/>
      <c r="S31" s="66"/>
      <c r="T31" s="66"/>
      <c r="U31" s="66"/>
      <c r="V31" s="66"/>
    </row>
    <row r="32" spans="1:22" s="3" customFormat="1" ht="72">
      <c r="A32" s="23" t="s">
        <v>245</v>
      </c>
      <c r="B32" s="14" t="s">
        <v>34</v>
      </c>
      <c r="C32" s="23" t="s">
        <v>45</v>
      </c>
      <c r="D32" s="15" t="s">
        <v>146</v>
      </c>
      <c r="E32" s="16" t="s">
        <v>35</v>
      </c>
      <c r="F32" s="23" t="s">
        <v>36</v>
      </c>
      <c r="G32" s="14" t="s">
        <v>37</v>
      </c>
      <c r="H32" s="14" t="s">
        <v>42</v>
      </c>
      <c r="I32" s="23" t="s">
        <v>38</v>
      </c>
      <c r="J32" s="14" t="s">
        <v>39</v>
      </c>
      <c r="K32" s="17">
        <f>372000*1.18</f>
        <v>438960</v>
      </c>
      <c r="L32" s="23" t="s">
        <v>144</v>
      </c>
      <c r="M32" s="14" t="s">
        <v>145</v>
      </c>
      <c r="N32" s="14" t="s">
        <v>40</v>
      </c>
      <c r="O32" s="66" t="s">
        <v>41</v>
      </c>
      <c r="P32" s="66"/>
      <c r="Q32" s="66"/>
      <c r="R32" s="66"/>
      <c r="S32" s="66"/>
      <c r="T32" s="66"/>
      <c r="U32" s="66"/>
      <c r="V32" s="66"/>
    </row>
    <row r="33" spans="1:22" s="3" customFormat="1" ht="72">
      <c r="A33" s="23" t="s">
        <v>246</v>
      </c>
      <c r="B33" s="14" t="s">
        <v>34</v>
      </c>
      <c r="C33" s="23" t="s">
        <v>45</v>
      </c>
      <c r="D33" s="15" t="s">
        <v>147</v>
      </c>
      <c r="E33" s="16" t="s">
        <v>35</v>
      </c>
      <c r="F33" s="23" t="s">
        <v>36</v>
      </c>
      <c r="G33" s="14" t="s">
        <v>37</v>
      </c>
      <c r="H33" s="14" t="s">
        <v>42</v>
      </c>
      <c r="I33" s="23" t="s">
        <v>38</v>
      </c>
      <c r="J33" s="14" t="s">
        <v>39</v>
      </c>
      <c r="K33" s="17">
        <f>135000*1.18</f>
        <v>159300</v>
      </c>
      <c r="L33" s="23" t="s">
        <v>144</v>
      </c>
      <c r="M33" s="14" t="s">
        <v>148</v>
      </c>
      <c r="N33" s="14" t="s">
        <v>40</v>
      </c>
      <c r="O33" s="66" t="s">
        <v>41</v>
      </c>
      <c r="P33" s="66"/>
      <c r="Q33" s="66"/>
      <c r="R33" s="66"/>
      <c r="S33" s="66"/>
      <c r="T33" s="66"/>
      <c r="U33" s="66"/>
      <c r="V33" s="66"/>
    </row>
    <row r="34" spans="1:22" s="3" customFormat="1" ht="72">
      <c r="A34" s="23" t="s">
        <v>220</v>
      </c>
      <c r="B34" s="14" t="s">
        <v>34</v>
      </c>
      <c r="C34" s="23" t="s">
        <v>221</v>
      </c>
      <c r="D34" s="15" t="s">
        <v>222</v>
      </c>
      <c r="E34" s="16" t="s">
        <v>35</v>
      </c>
      <c r="F34" s="23" t="s">
        <v>36</v>
      </c>
      <c r="G34" s="14" t="s">
        <v>37</v>
      </c>
      <c r="H34" s="14" t="s">
        <v>42</v>
      </c>
      <c r="I34" s="23" t="s">
        <v>38</v>
      </c>
      <c r="J34" s="14" t="s">
        <v>39</v>
      </c>
      <c r="K34" s="17">
        <f>4085600*1.18</f>
        <v>4821008</v>
      </c>
      <c r="L34" s="23" t="s">
        <v>144</v>
      </c>
      <c r="M34" s="14" t="s">
        <v>134</v>
      </c>
      <c r="N34" s="14" t="s">
        <v>43</v>
      </c>
      <c r="O34" s="66" t="s">
        <v>41</v>
      </c>
      <c r="P34" s="66"/>
      <c r="Q34" s="66"/>
      <c r="R34" s="66"/>
      <c r="S34" s="66"/>
      <c r="T34" s="66"/>
      <c r="U34" s="66"/>
      <c r="V34" s="66"/>
    </row>
    <row r="35" spans="1:22" s="3" customFormat="1" ht="72" customHeight="1">
      <c r="A35" s="23" t="s">
        <v>247</v>
      </c>
      <c r="B35" s="14" t="s">
        <v>34</v>
      </c>
      <c r="C35" s="23" t="s">
        <v>45</v>
      </c>
      <c r="D35" s="15" t="s">
        <v>216</v>
      </c>
      <c r="E35" s="16" t="s">
        <v>35</v>
      </c>
      <c r="F35" s="23" t="s">
        <v>36</v>
      </c>
      <c r="G35" s="14" t="s">
        <v>37</v>
      </c>
      <c r="H35" s="14" t="s">
        <v>42</v>
      </c>
      <c r="I35" s="23" t="s">
        <v>38</v>
      </c>
      <c r="J35" s="14" t="s">
        <v>39</v>
      </c>
      <c r="K35" s="17">
        <f>850000*1.18</f>
        <v>1003000</v>
      </c>
      <c r="L35" s="23" t="s">
        <v>144</v>
      </c>
      <c r="M35" s="14" t="s">
        <v>134</v>
      </c>
      <c r="N35" s="14" t="s">
        <v>43</v>
      </c>
      <c r="O35" s="66" t="s">
        <v>41</v>
      </c>
      <c r="P35" s="66"/>
      <c r="Q35" s="66"/>
      <c r="R35" s="66"/>
      <c r="S35" s="66"/>
      <c r="T35" s="66"/>
      <c r="U35" s="66"/>
      <c r="V35" s="66"/>
    </row>
    <row r="36" spans="1:22" s="3" customFormat="1" ht="72">
      <c r="A36" s="23" t="s">
        <v>248</v>
      </c>
      <c r="B36" s="14" t="s">
        <v>34</v>
      </c>
      <c r="C36" s="14" t="s">
        <v>206</v>
      </c>
      <c r="D36" s="15" t="s">
        <v>210</v>
      </c>
      <c r="E36" s="16" t="s">
        <v>35</v>
      </c>
      <c r="F36" s="23" t="s">
        <v>36</v>
      </c>
      <c r="G36" s="14" t="s">
        <v>37</v>
      </c>
      <c r="H36" s="14" t="s">
        <v>42</v>
      </c>
      <c r="I36" s="23" t="s">
        <v>38</v>
      </c>
      <c r="J36" s="14" t="s">
        <v>39</v>
      </c>
      <c r="K36" s="17">
        <f>1500000*1.18</f>
        <v>1770000</v>
      </c>
      <c r="L36" s="23" t="s">
        <v>144</v>
      </c>
      <c r="M36" s="14" t="s">
        <v>134</v>
      </c>
      <c r="N36" s="14" t="s">
        <v>43</v>
      </c>
      <c r="O36" s="66" t="s">
        <v>41</v>
      </c>
      <c r="P36" s="66"/>
      <c r="Q36" s="66"/>
      <c r="R36" s="66"/>
      <c r="S36" s="66"/>
      <c r="T36" s="66"/>
      <c r="U36" s="66"/>
      <c r="V36" s="66"/>
    </row>
    <row r="37" spans="1:22" s="3" customFormat="1" ht="72">
      <c r="A37" s="23" t="s">
        <v>249</v>
      </c>
      <c r="B37" s="14" t="s">
        <v>34</v>
      </c>
      <c r="C37" s="23"/>
      <c r="D37" s="15" t="s">
        <v>211</v>
      </c>
      <c r="E37" s="16" t="s">
        <v>35</v>
      </c>
      <c r="F37" s="23" t="s">
        <v>36</v>
      </c>
      <c r="G37" s="14" t="s">
        <v>37</v>
      </c>
      <c r="H37" s="14" t="s">
        <v>42</v>
      </c>
      <c r="I37" s="23" t="s">
        <v>38</v>
      </c>
      <c r="J37" s="14" t="s">
        <v>39</v>
      </c>
      <c r="K37" s="17">
        <f>(280000+129000)*1.18</f>
        <v>482620</v>
      </c>
      <c r="L37" s="23" t="s">
        <v>135</v>
      </c>
      <c r="M37" s="14" t="s">
        <v>142</v>
      </c>
      <c r="N37" s="14" t="s">
        <v>40</v>
      </c>
      <c r="O37" s="66" t="s">
        <v>41</v>
      </c>
      <c r="P37" s="66"/>
      <c r="Q37" s="66"/>
      <c r="R37" s="66"/>
      <c r="S37" s="66"/>
      <c r="T37" s="66"/>
      <c r="U37" s="66"/>
      <c r="V37" s="66"/>
    </row>
    <row r="38" spans="1:22" s="3" customFormat="1" ht="72">
      <c r="A38" s="23" t="s">
        <v>250</v>
      </c>
      <c r="B38" s="14" t="s">
        <v>34</v>
      </c>
      <c r="C38" s="23" t="s">
        <v>45</v>
      </c>
      <c r="D38" s="15" t="s">
        <v>227</v>
      </c>
      <c r="E38" s="16" t="s">
        <v>35</v>
      </c>
      <c r="F38" s="23" t="s">
        <v>36</v>
      </c>
      <c r="G38" s="14" t="s">
        <v>37</v>
      </c>
      <c r="H38" s="14" t="s">
        <v>42</v>
      </c>
      <c r="I38" s="23" t="s">
        <v>38</v>
      </c>
      <c r="J38" s="14" t="s">
        <v>39</v>
      </c>
      <c r="K38" s="17">
        <f>1780000*1.18</f>
        <v>2100400</v>
      </c>
      <c r="L38" s="23" t="s">
        <v>136</v>
      </c>
      <c r="M38" s="14" t="s">
        <v>136</v>
      </c>
      <c r="N38" s="14" t="s">
        <v>43</v>
      </c>
      <c r="O38" s="66" t="s">
        <v>41</v>
      </c>
      <c r="P38" s="66"/>
      <c r="Q38" s="66"/>
      <c r="R38" s="66"/>
      <c r="S38" s="66"/>
      <c r="T38" s="66"/>
      <c r="U38" s="66"/>
      <c r="V38" s="66"/>
    </row>
    <row r="39" spans="1:22" s="3" customFormat="1" ht="72">
      <c r="A39" s="23" t="s">
        <v>52</v>
      </c>
      <c r="B39" s="14" t="s">
        <v>129</v>
      </c>
      <c r="C39" s="23" t="s">
        <v>241</v>
      </c>
      <c r="D39" s="15" t="s">
        <v>228</v>
      </c>
      <c r="E39" s="16" t="s">
        <v>35</v>
      </c>
      <c r="F39" s="23" t="s">
        <v>36</v>
      </c>
      <c r="G39" s="14" t="s">
        <v>37</v>
      </c>
      <c r="H39" s="14" t="s">
        <v>42</v>
      </c>
      <c r="I39" s="23" t="s">
        <v>38</v>
      </c>
      <c r="J39" s="14" t="s">
        <v>39</v>
      </c>
      <c r="K39" s="17">
        <f>4371000*1.18</f>
        <v>5157780</v>
      </c>
      <c r="L39" s="23" t="s">
        <v>136</v>
      </c>
      <c r="M39" s="14" t="s">
        <v>136</v>
      </c>
      <c r="N39" s="14" t="s">
        <v>49</v>
      </c>
      <c r="O39" s="66" t="s">
        <v>41</v>
      </c>
      <c r="P39" s="66"/>
      <c r="Q39" s="66"/>
      <c r="R39" s="66"/>
      <c r="S39" s="66"/>
      <c r="T39" s="66"/>
      <c r="U39" s="66"/>
      <c r="V39" s="66"/>
    </row>
    <row r="40" spans="1:22" s="3" customFormat="1" ht="15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1">
        <f>SUM(K22:K39)</f>
        <v>223581090</v>
      </c>
      <c r="L40" s="20"/>
      <c r="M40" s="20"/>
      <c r="N40" s="20"/>
      <c r="O40" s="97"/>
      <c r="P40" s="97"/>
      <c r="Q40" s="97"/>
      <c r="R40" s="97"/>
      <c r="S40" s="97"/>
      <c r="T40" s="97"/>
      <c r="U40" s="97"/>
      <c r="V40" s="97"/>
    </row>
    <row r="41" spans="1:22" s="3" customFormat="1" ht="15">
      <c r="A41" s="94" t="s">
        <v>85</v>
      </c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6"/>
    </row>
    <row r="42" spans="1:22" s="3" customFormat="1" ht="72">
      <c r="A42" s="23" t="s">
        <v>53</v>
      </c>
      <c r="B42" s="14" t="s">
        <v>34</v>
      </c>
      <c r="C42" s="23" t="s">
        <v>45</v>
      </c>
      <c r="D42" s="15" t="s">
        <v>196</v>
      </c>
      <c r="E42" s="16" t="s">
        <v>35</v>
      </c>
      <c r="F42" s="23" t="s">
        <v>36</v>
      </c>
      <c r="G42" s="14" t="s">
        <v>37</v>
      </c>
      <c r="H42" s="14" t="s">
        <v>42</v>
      </c>
      <c r="I42" s="23" t="s">
        <v>38</v>
      </c>
      <c r="J42" s="14" t="s">
        <v>39</v>
      </c>
      <c r="K42" s="17">
        <f>2540000*1.18</f>
        <v>2997200</v>
      </c>
      <c r="L42" s="23" t="s">
        <v>133</v>
      </c>
      <c r="M42" s="14" t="s">
        <v>144</v>
      </c>
      <c r="N42" s="14" t="s">
        <v>40</v>
      </c>
      <c r="O42" s="66" t="s">
        <v>41</v>
      </c>
      <c r="P42" s="66"/>
      <c r="Q42" s="66"/>
      <c r="R42" s="66"/>
      <c r="S42" s="66"/>
      <c r="T42" s="66"/>
      <c r="U42" s="66"/>
      <c r="V42" s="66"/>
    </row>
    <row r="43" spans="1:22" s="3" customFormat="1" ht="15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1">
        <f>SUM(K42:K42)</f>
        <v>2997200</v>
      </c>
      <c r="L43" s="20"/>
      <c r="M43" s="20"/>
      <c r="N43" s="20"/>
      <c r="O43" s="86"/>
      <c r="P43" s="68"/>
      <c r="Q43" s="68"/>
      <c r="R43" s="68"/>
      <c r="S43" s="68"/>
      <c r="T43" s="68"/>
      <c r="U43" s="68"/>
      <c r="V43" s="69"/>
    </row>
    <row r="44" spans="1:22" s="3" customFormat="1" ht="15">
      <c r="A44" s="94" t="s">
        <v>91</v>
      </c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6"/>
    </row>
    <row r="45" spans="1:22" s="3" customFormat="1" ht="72">
      <c r="A45" s="23" t="s">
        <v>54</v>
      </c>
      <c r="B45" s="14" t="s">
        <v>34</v>
      </c>
      <c r="C45" s="23" t="s">
        <v>72</v>
      </c>
      <c r="D45" s="15" t="s">
        <v>157</v>
      </c>
      <c r="E45" s="14" t="s">
        <v>95</v>
      </c>
      <c r="F45" s="23" t="s">
        <v>152</v>
      </c>
      <c r="G45" s="14" t="s">
        <v>153</v>
      </c>
      <c r="H45" s="14" t="s">
        <v>128</v>
      </c>
      <c r="I45" s="23" t="s">
        <v>38</v>
      </c>
      <c r="J45" s="14" t="s">
        <v>39</v>
      </c>
      <c r="K45" s="17">
        <f>1100000*1.18</f>
        <v>1298000</v>
      </c>
      <c r="L45" s="14" t="s">
        <v>133</v>
      </c>
      <c r="M45" s="14" t="s">
        <v>144</v>
      </c>
      <c r="N45" s="14" t="s">
        <v>43</v>
      </c>
      <c r="O45" s="66" t="s">
        <v>41</v>
      </c>
      <c r="P45" s="66"/>
      <c r="Q45" s="66"/>
      <c r="R45" s="66"/>
      <c r="S45" s="66"/>
      <c r="T45" s="66"/>
      <c r="U45" s="66"/>
      <c r="V45" s="66"/>
    </row>
    <row r="46" spans="1:22" s="3" customFormat="1" ht="72">
      <c r="A46" s="23" t="s">
        <v>55</v>
      </c>
      <c r="B46" s="14" t="s">
        <v>34</v>
      </c>
      <c r="C46" s="23" t="s">
        <v>72</v>
      </c>
      <c r="D46" s="15" t="s">
        <v>151</v>
      </c>
      <c r="E46" s="14" t="s">
        <v>95</v>
      </c>
      <c r="F46" s="23" t="s">
        <v>152</v>
      </c>
      <c r="G46" s="14" t="s">
        <v>153</v>
      </c>
      <c r="H46" s="14" t="s">
        <v>90</v>
      </c>
      <c r="I46" s="23" t="s">
        <v>38</v>
      </c>
      <c r="J46" s="14" t="s">
        <v>39</v>
      </c>
      <c r="K46" s="17">
        <f>1350000*1.18</f>
        <v>1593000</v>
      </c>
      <c r="L46" s="14" t="s">
        <v>133</v>
      </c>
      <c r="M46" s="14" t="s">
        <v>144</v>
      </c>
      <c r="N46" s="14" t="s">
        <v>43</v>
      </c>
      <c r="O46" s="66" t="s">
        <v>41</v>
      </c>
      <c r="P46" s="66"/>
      <c r="Q46" s="66"/>
      <c r="R46" s="66"/>
      <c r="S46" s="66"/>
      <c r="T46" s="66"/>
      <c r="U46" s="66"/>
      <c r="V46" s="66"/>
    </row>
    <row r="47" spans="1:22" s="3" customFormat="1" ht="72">
      <c r="A47" s="23" t="s">
        <v>56</v>
      </c>
      <c r="B47" s="14" t="s">
        <v>34</v>
      </c>
      <c r="C47" s="23" t="s">
        <v>72</v>
      </c>
      <c r="D47" s="15" t="s">
        <v>154</v>
      </c>
      <c r="E47" s="14" t="s">
        <v>95</v>
      </c>
      <c r="F47" s="23" t="s">
        <v>152</v>
      </c>
      <c r="G47" s="14" t="s">
        <v>153</v>
      </c>
      <c r="H47" s="14" t="s">
        <v>205</v>
      </c>
      <c r="I47" s="23" t="s">
        <v>38</v>
      </c>
      <c r="J47" s="14" t="s">
        <v>39</v>
      </c>
      <c r="K47" s="17">
        <f>4072000*1.18</f>
        <v>4804960</v>
      </c>
      <c r="L47" s="14" t="s">
        <v>133</v>
      </c>
      <c r="M47" s="14" t="s">
        <v>144</v>
      </c>
      <c r="N47" s="14" t="s">
        <v>43</v>
      </c>
      <c r="O47" s="66" t="s">
        <v>41</v>
      </c>
      <c r="P47" s="66"/>
      <c r="Q47" s="66"/>
      <c r="R47" s="66"/>
      <c r="S47" s="66"/>
      <c r="T47" s="66"/>
      <c r="U47" s="66"/>
      <c r="V47" s="66"/>
    </row>
    <row r="48" spans="1:22" s="3" customFormat="1" ht="72">
      <c r="A48" s="23" t="s">
        <v>57</v>
      </c>
      <c r="B48" s="14" t="s">
        <v>34</v>
      </c>
      <c r="C48" s="23" t="s">
        <v>72</v>
      </c>
      <c r="D48" s="15" t="s">
        <v>155</v>
      </c>
      <c r="E48" s="14" t="s">
        <v>95</v>
      </c>
      <c r="F48" s="23" t="s">
        <v>152</v>
      </c>
      <c r="G48" s="14" t="s">
        <v>153</v>
      </c>
      <c r="H48" s="14" t="s">
        <v>128</v>
      </c>
      <c r="I48" s="23" t="s">
        <v>38</v>
      </c>
      <c r="J48" s="14" t="s">
        <v>39</v>
      </c>
      <c r="K48" s="17">
        <f>1100000*1.18</f>
        <v>1298000</v>
      </c>
      <c r="L48" s="14" t="s">
        <v>133</v>
      </c>
      <c r="M48" s="14" t="s">
        <v>144</v>
      </c>
      <c r="N48" s="14" t="s">
        <v>43</v>
      </c>
      <c r="O48" s="66" t="s">
        <v>41</v>
      </c>
      <c r="P48" s="66"/>
      <c r="Q48" s="66"/>
      <c r="R48" s="66"/>
      <c r="S48" s="66"/>
      <c r="T48" s="66"/>
      <c r="U48" s="66"/>
      <c r="V48" s="66"/>
    </row>
    <row r="49" spans="1:22" s="3" customFormat="1" ht="72">
      <c r="A49" s="23" t="s">
        <v>58</v>
      </c>
      <c r="B49" s="14" t="s">
        <v>34</v>
      </c>
      <c r="C49" s="23" t="s">
        <v>72</v>
      </c>
      <c r="D49" s="15" t="s">
        <v>156</v>
      </c>
      <c r="E49" s="14" t="s">
        <v>95</v>
      </c>
      <c r="F49" s="23" t="s">
        <v>152</v>
      </c>
      <c r="G49" s="14" t="s">
        <v>153</v>
      </c>
      <c r="H49" s="14" t="s">
        <v>128</v>
      </c>
      <c r="I49" s="23" t="s">
        <v>38</v>
      </c>
      <c r="J49" s="14" t="s">
        <v>39</v>
      </c>
      <c r="K49" s="17">
        <f>1100000*1.18</f>
        <v>1298000</v>
      </c>
      <c r="L49" s="14" t="s">
        <v>133</v>
      </c>
      <c r="M49" s="14" t="s">
        <v>144</v>
      </c>
      <c r="N49" s="14" t="s">
        <v>43</v>
      </c>
      <c r="O49" s="66" t="s">
        <v>41</v>
      </c>
      <c r="P49" s="66"/>
      <c r="Q49" s="66"/>
      <c r="R49" s="66"/>
      <c r="S49" s="66"/>
      <c r="T49" s="66"/>
      <c r="U49" s="66"/>
      <c r="V49" s="66"/>
    </row>
    <row r="50" spans="1:22" s="3" customFormat="1" ht="72">
      <c r="A50" s="23" t="s">
        <v>59</v>
      </c>
      <c r="B50" s="14" t="s">
        <v>34</v>
      </c>
      <c r="C50" s="23" t="s">
        <v>72</v>
      </c>
      <c r="D50" s="15" t="s">
        <v>158</v>
      </c>
      <c r="E50" s="14" t="s">
        <v>95</v>
      </c>
      <c r="F50" s="23" t="s">
        <v>152</v>
      </c>
      <c r="G50" s="14" t="s">
        <v>153</v>
      </c>
      <c r="H50" s="14" t="s">
        <v>42</v>
      </c>
      <c r="I50" s="23" t="s">
        <v>38</v>
      </c>
      <c r="J50" s="14" t="s">
        <v>39</v>
      </c>
      <c r="K50" s="17">
        <f>750000*1.18</f>
        <v>885000</v>
      </c>
      <c r="L50" s="14" t="s">
        <v>133</v>
      </c>
      <c r="M50" s="14" t="s">
        <v>144</v>
      </c>
      <c r="N50" s="14" t="s">
        <v>43</v>
      </c>
      <c r="O50" s="66" t="s">
        <v>41</v>
      </c>
      <c r="P50" s="66"/>
      <c r="Q50" s="66"/>
      <c r="R50" s="66"/>
      <c r="S50" s="66"/>
      <c r="T50" s="66"/>
      <c r="U50" s="66"/>
      <c r="V50" s="66"/>
    </row>
    <row r="51" spans="1:22" s="3" customFormat="1" ht="72">
      <c r="A51" s="23" t="s">
        <v>60</v>
      </c>
      <c r="B51" s="14" t="s">
        <v>34</v>
      </c>
      <c r="C51" s="23" t="s">
        <v>72</v>
      </c>
      <c r="D51" s="15" t="s">
        <v>159</v>
      </c>
      <c r="E51" s="14" t="s">
        <v>95</v>
      </c>
      <c r="F51" s="23" t="s">
        <v>152</v>
      </c>
      <c r="G51" s="14" t="s">
        <v>153</v>
      </c>
      <c r="H51" s="14" t="s">
        <v>42</v>
      </c>
      <c r="I51" s="23" t="s">
        <v>38</v>
      </c>
      <c r="J51" s="14" t="s">
        <v>39</v>
      </c>
      <c r="K51" s="17">
        <f>750000*1.18</f>
        <v>885000</v>
      </c>
      <c r="L51" s="14" t="s">
        <v>133</v>
      </c>
      <c r="M51" s="14" t="s">
        <v>144</v>
      </c>
      <c r="N51" s="14" t="s">
        <v>43</v>
      </c>
      <c r="O51" s="66" t="s">
        <v>41</v>
      </c>
      <c r="P51" s="66"/>
      <c r="Q51" s="66"/>
      <c r="R51" s="66"/>
      <c r="S51" s="66"/>
      <c r="T51" s="66"/>
      <c r="U51" s="66"/>
      <c r="V51" s="66"/>
    </row>
    <row r="52" spans="1:22" s="3" customFormat="1" ht="72">
      <c r="A52" s="23" t="s">
        <v>61</v>
      </c>
      <c r="B52" s="14" t="s">
        <v>34</v>
      </c>
      <c r="C52" s="23" t="s">
        <v>72</v>
      </c>
      <c r="D52" s="15" t="s">
        <v>160</v>
      </c>
      <c r="E52" s="14" t="s">
        <v>95</v>
      </c>
      <c r="F52" s="23" t="s">
        <v>36</v>
      </c>
      <c r="G52" s="14" t="s">
        <v>37</v>
      </c>
      <c r="H52" s="14" t="s">
        <v>42</v>
      </c>
      <c r="I52" s="23" t="s">
        <v>38</v>
      </c>
      <c r="J52" s="14" t="s">
        <v>39</v>
      </c>
      <c r="K52" s="17">
        <f>1740000*1.18</f>
        <v>2053200</v>
      </c>
      <c r="L52" s="14" t="s">
        <v>133</v>
      </c>
      <c r="M52" s="14" t="s">
        <v>144</v>
      </c>
      <c r="N52" s="14" t="s">
        <v>43</v>
      </c>
      <c r="O52" s="66" t="s">
        <v>41</v>
      </c>
      <c r="P52" s="66"/>
      <c r="Q52" s="66"/>
      <c r="R52" s="66"/>
      <c r="S52" s="66"/>
      <c r="T52" s="66"/>
      <c r="U52" s="66"/>
      <c r="V52" s="66"/>
    </row>
    <row r="53" spans="1:22" s="3" customFormat="1" ht="72">
      <c r="A53" s="23" t="s">
        <v>62</v>
      </c>
      <c r="B53" s="14" t="s">
        <v>34</v>
      </c>
      <c r="C53" s="23" t="s">
        <v>72</v>
      </c>
      <c r="D53" s="15" t="s">
        <v>161</v>
      </c>
      <c r="E53" s="14" t="s">
        <v>95</v>
      </c>
      <c r="F53" s="23" t="s">
        <v>36</v>
      </c>
      <c r="G53" s="14" t="s">
        <v>37</v>
      </c>
      <c r="H53" s="14" t="s">
        <v>42</v>
      </c>
      <c r="I53" s="23" t="s">
        <v>38</v>
      </c>
      <c r="J53" s="14" t="s">
        <v>39</v>
      </c>
      <c r="K53" s="17">
        <f>1695000*1.18</f>
        <v>2000100</v>
      </c>
      <c r="L53" s="14" t="s">
        <v>144</v>
      </c>
      <c r="M53" s="14" t="s">
        <v>134</v>
      </c>
      <c r="N53" s="14" t="s">
        <v>43</v>
      </c>
      <c r="O53" s="66" t="s">
        <v>41</v>
      </c>
      <c r="P53" s="66"/>
      <c r="Q53" s="66"/>
      <c r="R53" s="66"/>
      <c r="S53" s="66"/>
      <c r="T53" s="66"/>
      <c r="U53" s="66"/>
      <c r="V53" s="66"/>
    </row>
    <row r="54" spans="1:22" s="3" customFormat="1" ht="72">
      <c r="A54" s="23" t="s">
        <v>63</v>
      </c>
      <c r="B54" s="28" t="s">
        <v>34</v>
      </c>
      <c r="C54" s="29" t="s">
        <v>120</v>
      </c>
      <c r="D54" s="30" t="s">
        <v>213</v>
      </c>
      <c r="E54" s="28" t="s">
        <v>99</v>
      </c>
      <c r="F54" s="29" t="s">
        <v>36</v>
      </c>
      <c r="G54" s="28" t="s">
        <v>37</v>
      </c>
      <c r="H54" s="14" t="s">
        <v>42</v>
      </c>
      <c r="I54" s="29" t="s">
        <v>38</v>
      </c>
      <c r="J54" s="28" t="s">
        <v>39</v>
      </c>
      <c r="K54" s="31">
        <f>560000*1.18</f>
        <v>660800</v>
      </c>
      <c r="L54" s="29" t="s">
        <v>144</v>
      </c>
      <c r="M54" s="28" t="s">
        <v>134</v>
      </c>
      <c r="N54" s="28" t="s">
        <v>43</v>
      </c>
      <c r="O54" s="83" t="s">
        <v>41</v>
      </c>
      <c r="P54" s="84"/>
      <c r="Q54" s="84"/>
      <c r="R54" s="84"/>
      <c r="S54" s="84"/>
      <c r="T54" s="84"/>
      <c r="U54" s="84"/>
      <c r="V54" s="85"/>
    </row>
    <row r="55" spans="1:22" s="3" customFormat="1" ht="72">
      <c r="A55" s="23" t="s">
        <v>64</v>
      </c>
      <c r="B55" s="14" t="s">
        <v>34</v>
      </c>
      <c r="C55" s="23" t="s">
        <v>72</v>
      </c>
      <c r="D55" s="15" t="s">
        <v>214</v>
      </c>
      <c r="E55" s="14" t="s">
        <v>95</v>
      </c>
      <c r="F55" s="23" t="s">
        <v>36</v>
      </c>
      <c r="G55" s="14" t="s">
        <v>37</v>
      </c>
      <c r="H55" s="14" t="s">
        <v>42</v>
      </c>
      <c r="I55" s="23" t="s">
        <v>38</v>
      </c>
      <c r="J55" s="14" t="s">
        <v>39</v>
      </c>
      <c r="K55" s="17">
        <f>1800000*1.18</f>
        <v>2124000</v>
      </c>
      <c r="L55" s="14" t="s">
        <v>144</v>
      </c>
      <c r="M55" s="14" t="s">
        <v>215</v>
      </c>
      <c r="N55" s="14" t="s">
        <v>43</v>
      </c>
      <c r="O55" s="66" t="s">
        <v>41</v>
      </c>
      <c r="P55" s="66"/>
      <c r="Q55" s="66"/>
      <c r="R55" s="66"/>
      <c r="S55" s="66"/>
      <c r="T55" s="66"/>
      <c r="U55" s="66"/>
      <c r="V55" s="66"/>
    </row>
    <row r="56" spans="1:22" s="3" customFormat="1" ht="72">
      <c r="A56" s="23" t="s">
        <v>65</v>
      </c>
      <c r="B56" s="14" t="s">
        <v>34</v>
      </c>
      <c r="C56" s="23" t="s">
        <v>72</v>
      </c>
      <c r="D56" s="15" t="s">
        <v>239</v>
      </c>
      <c r="E56" s="14" t="s">
        <v>95</v>
      </c>
      <c r="F56" s="23" t="s">
        <v>36</v>
      </c>
      <c r="G56" s="14" t="s">
        <v>37</v>
      </c>
      <c r="H56" s="14" t="s">
        <v>42</v>
      </c>
      <c r="I56" s="23" t="s">
        <v>38</v>
      </c>
      <c r="J56" s="14" t="s">
        <v>39</v>
      </c>
      <c r="K56" s="17">
        <f>320329000*1.18</f>
        <v>377988220</v>
      </c>
      <c r="L56" s="14" t="s">
        <v>144</v>
      </c>
      <c r="M56" s="14" t="s">
        <v>134</v>
      </c>
      <c r="N56" s="14" t="s">
        <v>240</v>
      </c>
      <c r="O56" s="66" t="s">
        <v>41</v>
      </c>
      <c r="P56" s="66"/>
      <c r="Q56" s="66"/>
      <c r="R56" s="66"/>
      <c r="S56" s="66"/>
      <c r="T56" s="66"/>
      <c r="U56" s="66"/>
      <c r="V56" s="66"/>
    </row>
    <row r="57" spans="1:22" s="3" customFormat="1" ht="72">
      <c r="A57" s="23" t="s">
        <v>66</v>
      </c>
      <c r="B57" s="14" t="s">
        <v>34</v>
      </c>
      <c r="C57" s="32" t="s">
        <v>50</v>
      </c>
      <c r="D57" s="15" t="s">
        <v>191</v>
      </c>
      <c r="E57" s="14" t="s">
        <v>192</v>
      </c>
      <c r="F57" s="23" t="s">
        <v>36</v>
      </c>
      <c r="G57" s="14" t="s">
        <v>37</v>
      </c>
      <c r="H57" s="14" t="s">
        <v>42</v>
      </c>
      <c r="I57" s="23" t="s">
        <v>38</v>
      </c>
      <c r="J57" s="14" t="s">
        <v>39</v>
      </c>
      <c r="K57" s="17">
        <f>6000000*1.18</f>
        <v>7080000</v>
      </c>
      <c r="L57" s="23" t="s">
        <v>144</v>
      </c>
      <c r="M57" s="23" t="s">
        <v>134</v>
      </c>
      <c r="N57" s="14" t="s">
        <v>102</v>
      </c>
      <c r="O57" s="66" t="s">
        <v>41</v>
      </c>
      <c r="P57" s="66"/>
      <c r="Q57" s="66"/>
      <c r="R57" s="66"/>
      <c r="S57" s="66"/>
      <c r="T57" s="66"/>
      <c r="U57" s="66"/>
      <c r="V57" s="66"/>
    </row>
    <row r="58" spans="1:22" s="3" customFormat="1" ht="72">
      <c r="A58" s="23" t="s">
        <v>67</v>
      </c>
      <c r="B58" s="14" t="s">
        <v>34</v>
      </c>
      <c r="C58" s="32" t="s">
        <v>72</v>
      </c>
      <c r="D58" s="15" t="s">
        <v>208</v>
      </c>
      <c r="E58" s="14" t="s">
        <v>192</v>
      </c>
      <c r="F58" s="23" t="s">
        <v>36</v>
      </c>
      <c r="G58" s="14" t="s">
        <v>37</v>
      </c>
      <c r="H58" s="14" t="s">
        <v>42</v>
      </c>
      <c r="I58" s="23" t="s">
        <v>38</v>
      </c>
      <c r="J58" s="14" t="s">
        <v>39</v>
      </c>
      <c r="K58" s="17">
        <f>549701000*1.18</f>
        <v>648647180</v>
      </c>
      <c r="L58" s="23" t="s">
        <v>141</v>
      </c>
      <c r="M58" s="23" t="s">
        <v>135</v>
      </c>
      <c r="N58" s="14" t="s">
        <v>209</v>
      </c>
      <c r="O58" s="66" t="s">
        <v>41</v>
      </c>
      <c r="P58" s="66"/>
      <c r="Q58" s="66"/>
      <c r="R58" s="66"/>
      <c r="S58" s="66"/>
      <c r="T58" s="66"/>
      <c r="U58" s="66"/>
      <c r="V58" s="66"/>
    </row>
    <row r="59" spans="1:22" s="3" customFormat="1" ht="101.25">
      <c r="A59" s="23" t="s">
        <v>68</v>
      </c>
      <c r="B59" s="14" t="s">
        <v>34</v>
      </c>
      <c r="C59" s="32" t="s">
        <v>72</v>
      </c>
      <c r="D59" s="19" t="s">
        <v>229</v>
      </c>
      <c r="E59" s="14" t="s">
        <v>192</v>
      </c>
      <c r="F59" s="23" t="s">
        <v>36</v>
      </c>
      <c r="G59" s="14" t="s">
        <v>37</v>
      </c>
      <c r="H59" s="14" t="s">
        <v>42</v>
      </c>
      <c r="I59" s="23" t="s">
        <v>38</v>
      </c>
      <c r="J59" s="14" t="s">
        <v>39</v>
      </c>
      <c r="K59" s="17">
        <f>2863000*1.18</f>
        <v>3378340</v>
      </c>
      <c r="L59" s="23" t="s">
        <v>141</v>
      </c>
      <c r="M59" s="23" t="s">
        <v>135</v>
      </c>
      <c r="N59" s="14" t="s">
        <v>43</v>
      </c>
      <c r="O59" s="66" t="s">
        <v>41</v>
      </c>
      <c r="P59" s="66"/>
      <c r="Q59" s="66"/>
      <c r="R59" s="66"/>
      <c r="S59" s="66"/>
      <c r="T59" s="66"/>
      <c r="U59" s="66"/>
      <c r="V59" s="66"/>
    </row>
    <row r="60" spans="1:22" s="3" customFormat="1" ht="72">
      <c r="A60" s="23" t="s">
        <v>71</v>
      </c>
      <c r="B60" s="14" t="s">
        <v>34</v>
      </c>
      <c r="C60" s="23" t="s">
        <v>72</v>
      </c>
      <c r="D60" s="15" t="s">
        <v>140</v>
      </c>
      <c r="E60" s="14" t="s">
        <v>93</v>
      </c>
      <c r="F60" s="23" t="s">
        <v>36</v>
      </c>
      <c r="G60" s="14" t="s">
        <v>37</v>
      </c>
      <c r="H60" s="14" t="s">
        <v>42</v>
      </c>
      <c r="I60" s="23" t="s">
        <v>38</v>
      </c>
      <c r="J60" s="14" t="s">
        <v>39</v>
      </c>
      <c r="K60" s="17">
        <f>129000*1.18</f>
        <v>152220</v>
      </c>
      <c r="L60" s="23" t="s">
        <v>141</v>
      </c>
      <c r="M60" s="23" t="s">
        <v>142</v>
      </c>
      <c r="N60" s="14" t="s">
        <v>43</v>
      </c>
      <c r="O60" s="24" t="s">
        <v>41</v>
      </c>
      <c r="P60" s="25"/>
      <c r="Q60" s="25"/>
      <c r="R60" s="25"/>
      <c r="S60" s="25"/>
      <c r="T60" s="25"/>
      <c r="U60" s="25"/>
      <c r="V60" s="26"/>
    </row>
    <row r="61" spans="1:22" s="3" customFormat="1" ht="72">
      <c r="A61" s="23" t="s">
        <v>73</v>
      </c>
      <c r="B61" s="14" t="s">
        <v>34</v>
      </c>
      <c r="C61" s="23" t="s">
        <v>72</v>
      </c>
      <c r="D61" s="15" t="s">
        <v>186</v>
      </c>
      <c r="E61" s="14" t="s">
        <v>93</v>
      </c>
      <c r="F61" s="23" t="s">
        <v>36</v>
      </c>
      <c r="G61" s="14" t="s">
        <v>37</v>
      </c>
      <c r="H61" s="14" t="s">
        <v>42</v>
      </c>
      <c r="I61" s="23" t="s">
        <v>38</v>
      </c>
      <c r="J61" s="14" t="s">
        <v>39</v>
      </c>
      <c r="K61" s="17">
        <f>563000*1.18</f>
        <v>664340</v>
      </c>
      <c r="L61" s="23" t="s">
        <v>141</v>
      </c>
      <c r="M61" s="23" t="s">
        <v>142</v>
      </c>
      <c r="N61" s="14" t="s">
        <v>43</v>
      </c>
      <c r="O61" s="66" t="s">
        <v>41</v>
      </c>
      <c r="P61" s="66"/>
      <c r="Q61" s="66"/>
      <c r="R61" s="66"/>
      <c r="S61" s="66"/>
      <c r="T61" s="66"/>
      <c r="U61" s="66"/>
      <c r="V61" s="66"/>
    </row>
    <row r="62" spans="1:22" s="3" customFormat="1" ht="72">
      <c r="A62" s="23" t="s">
        <v>74</v>
      </c>
      <c r="B62" s="14" t="s">
        <v>34</v>
      </c>
      <c r="C62" s="23" t="s">
        <v>72</v>
      </c>
      <c r="D62" s="15" t="s">
        <v>200</v>
      </c>
      <c r="E62" s="14" t="s">
        <v>95</v>
      </c>
      <c r="F62" s="23" t="s">
        <v>36</v>
      </c>
      <c r="G62" s="14" t="s">
        <v>37</v>
      </c>
      <c r="H62" s="14" t="s">
        <v>42</v>
      </c>
      <c r="I62" s="23" t="s">
        <v>38</v>
      </c>
      <c r="J62" s="14" t="s">
        <v>39</v>
      </c>
      <c r="K62" s="17">
        <f>3890000*1.18</f>
        <v>4590200</v>
      </c>
      <c r="L62" s="23" t="s">
        <v>141</v>
      </c>
      <c r="M62" s="23" t="s">
        <v>142</v>
      </c>
      <c r="N62" s="14" t="s">
        <v>43</v>
      </c>
      <c r="O62" s="66" t="s">
        <v>41</v>
      </c>
      <c r="P62" s="66"/>
      <c r="Q62" s="66"/>
      <c r="R62" s="66"/>
      <c r="S62" s="66"/>
      <c r="T62" s="66"/>
      <c r="U62" s="66"/>
      <c r="V62" s="66"/>
    </row>
    <row r="63" spans="1:22" s="3" customFormat="1" ht="72">
      <c r="A63" s="23" t="s">
        <v>75</v>
      </c>
      <c r="B63" s="14" t="s">
        <v>34</v>
      </c>
      <c r="C63" s="23" t="s">
        <v>72</v>
      </c>
      <c r="D63" s="15" t="s">
        <v>201</v>
      </c>
      <c r="E63" s="14" t="s">
        <v>95</v>
      </c>
      <c r="F63" s="23" t="s">
        <v>36</v>
      </c>
      <c r="G63" s="14" t="s">
        <v>37</v>
      </c>
      <c r="H63" s="14" t="s">
        <v>42</v>
      </c>
      <c r="I63" s="23" t="s">
        <v>38</v>
      </c>
      <c r="J63" s="14" t="s">
        <v>39</v>
      </c>
      <c r="K63" s="17">
        <f>4319000*1.18</f>
        <v>5096420</v>
      </c>
      <c r="L63" s="23" t="s">
        <v>141</v>
      </c>
      <c r="M63" s="23" t="s">
        <v>135</v>
      </c>
      <c r="N63" s="14" t="s">
        <v>43</v>
      </c>
      <c r="O63" s="66" t="s">
        <v>41</v>
      </c>
      <c r="P63" s="66"/>
      <c r="Q63" s="66"/>
      <c r="R63" s="66"/>
      <c r="S63" s="66"/>
      <c r="T63" s="66"/>
      <c r="U63" s="66"/>
      <c r="V63" s="66"/>
    </row>
    <row r="64" spans="1:22" s="3" customFormat="1" ht="72">
      <c r="A64" s="23" t="s">
        <v>76</v>
      </c>
      <c r="B64" s="14" t="s">
        <v>34</v>
      </c>
      <c r="C64" s="23" t="s">
        <v>72</v>
      </c>
      <c r="D64" s="15" t="s">
        <v>177</v>
      </c>
      <c r="E64" s="14" t="s">
        <v>93</v>
      </c>
      <c r="F64" s="23" t="s">
        <v>36</v>
      </c>
      <c r="G64" s="14" t="s">
        <v>37</v>
      </c>
      <c r="H64" s="14" t="s">
        <v>42</v>
      </c>
      <c r="I64" s="23" t="s">
        <v>38</v>
      </c>
      <c r="J64" s="14" t="s">
        <v>39</v>
      </c>
      <c r="K64" s="17">
        <f>253000*1.18</f>
        <v>298540</v>
      </c>
      <c r="L64" s="14" t="s">
        <v>141</v>
      </c>
      <c r="M64" s="14" t="s">
        <v>142</v>
      </c>
      <c r="N64" s="14" t="s">
        <v>43</v>
      </c>
      <c r="O64" s="66" t="s">
        <v>41</v>
      </c>
      <c r="P64" s="66"/>
      <c r="Q64" s="66"/>
      <c r="R64" s="66"/>
      <c r="S64" s="66"/>
      <c r="T64" s="66"/>
      <c r="U64" s="66"/>
      <c r="V64" s="66"/>
    </row>
    <row r="65" spans="1:22" s="3" customFormat="1" ht="72">
      <c r="A65" s="23" t="s">
        <v>77</v>
      </c>
      <c r="B65" s="14" t="s">
        <v>34</v>
      </c>
      <c r="C65" s="32" t="s">
        <v>72</v>
      </c>
      <c r="D65" s="15" t="s">
        <v>226</v>
      </c>
      <c r="E65" s="14" t="s">
        <v>192</v>
      </c>
      <c r="F65" s="23" t="s">
        <v>36</v>
      </c>
      <c r="G65" s="14" t="s">
        <v>37</v>
      </c>
      <c r="H65" s="14" t="s">
        <v>42</v>
      </c>
      <c r="I65" s="23" t="s">
        <v>38</v>
      </c>
      <c r="J65" s="14" t="s">
        <v>39</v>
      </c>
      <c r="K65" s="17">
        <f>110000*1.18</f>
        <v>129800</v>
      </c>
      <c r="L65" s="23" t="s">
        <v>135</v>
      </c>
      <c r="M65" s="23" t="s">
        <v>136</v>
      </c>
      <c r="N65" s="14" t="s">
        <v>43</v>
      </c>
      <c r="O65" s="67" t="s">
        <v>41</v>
      </c>
      <c r="P65" s="70"/>
      <c r="Q65" s="70"/>
      <c r="R65" s="70"/>
      <c r="S65" s="70"/>
      <c r="T65" s="70"/>
      <c r="U65" s="70"/>
      <c r="V65" s="71"/>
    </row>
    <row r="66" spans="1:22" s="3" customFormat="1" ht="72">
      <c r="A66" s="23" t="s">
        <v>78</v>
      </c>
      <c r="B66" s="14" t="s">
        <v>129</v>
      </c>
      <c r="C66" s="32" t="s">
        <v>72</v>
      </c>
      <c r="D66" s="15" t="s">
        <v>189</v>
      </c>
      <c r="E66" s="14" t="s">
        <v>95</v>
      </c>
      <c r="F66" s="23" t="s">
        <v>36</v>
      </c>
      <c r="G66" s="14" t="s">
        <v>37</v>
      </c>
      <c r="H66" s="14" t="s">
        <v>42</v>
      </c>
      <c r="I66" s="23" t="s">
        <v>38</v>
      </c>
      <c r="J66" s="14" t="s">
        <v>39</v>
      </c>
      <c r="K66" s="17">
        <f>247000*1.18</f>
        <v>291460</v>
      </c>
      <c r="L66" s="23" t="s">
        <v>135</v>
      </c>
      <c r="M66" s="23" t="s">
        <v>142</v>
      </c>
      <c r="N66" s="14" t="s">
        <v>43</v>
      </c>
      <c r="O66" s="67" t="s">
        <v>41</v>
      </c>
      <c r="P66" s="70"/>
      <c r="Q66" s="70"/>
      <c r="R66" s="70"/>
      <c r="S66" s="70"/>
      <c r="T66" s="70"/>
      <c r="U66" s="70"/>
      <c r="V66" s="71"/>
    </row>
    <row r="67" spans="1:22" s="3" customFormat="1" ht="72">
      <c r="A67" s="23" t="s">
        <v>79</v>
      </c>
      <c r="B67" s="14" t="s">
        <v>34</v>
      </c>
      <c r="C67" s="23" t="s">
        <v>72</v>
      </c>
      <c r="D67" s="19" t="s">
        <v>199</v>
      </c>
      <c r="E67" s="14" t="s">
        <v>95</v>
      </c>
      <c r="F67" s="23" t="s">
        <v>36</v>
      </c>
      <c r="G67" s="14" t="s">
        <v>37</v>
      </c>
      <c r="H67" s="14" t="s">
        <v>42</v>
      </c>
      <c r="I67" s="23" t="s">
        <v>38</v>
      </c>
      <c r="J67" s="14" t="s">
        <v>39</v>
      </c>
      <c r="K67" s="17">
        <f>8477000*1.18</f>
        <v>10002860</v>
      </c>
      <c r="L67" s="14" t="s">
        <v>135</v>
      </c>
      <c r="M67" s="14" t="s">
        <v>136</v>
      </c>
      <c r="N67" s="14" t="s">
        <v>43</v>
      </c>
      <c r="O67" s="66" t="s">
        <v>41</v>
      </c>
      <c r="P67" s="66"/>
      <c r="Q67" s="66"/>
      <c r="R67" s="66"/>
      <c r="S67" s="66"/>
      <c r="T67" s="66"/>
      <c r="U67" s="66"/>
      <c r="V67" s="66"/>
    </row>
    <row r="68" spans="1:22" s="3" customFormat="1" ht="72">
      <c r="A68" s="23" t="s">
        <v>80</v>
      </c>
      <c r="B68" s="14" t="s">
        <v>34</v>
      </c>
      <c r="C68" s="23" t="s">
        <v>72</v>
      </c>
      <c r="D68" s="15" t="s">
        <v>182</v>
      </c>
      <c r="E68" s="14" t="s">
        <v>93</v>
      </c>
      <c r="F68" s="23" t="s">
        <v>36</v>
      </c>
      <c r="G68" s="14" t="s">
        <v>37</v>
      </c>
      <c r="H68" s="14" t="s">
        <v>42</v>
      </c>
      <c r="I68" s="23" t="s">
        <v>38</v>
      </c>
      <c r="J68" s="14" t="s">
        <v>39</v>
      </c>
      <c r="K68" s="17">
        <f>(1305000+90000)*1.18</f>
        <v>1646100</v>
      </c>
      <c r="L68" s="14" t="s">
        <v>135</v>
      </c>
      <c r="M68" s="14" t="s">
        <v>143</v>
      </c>
      <c r="N68" s="14" t="s">
        <v>43</v>
      </c>
      <c r="O68" s="66" t="s">
        <v>41</v>
      </c>
      <c r="P68" s="66"/>
      <c r="Q68" s="66"/>
      <c r="R68" s="66"/>
      <c r="S68" s="66"/>
      <c r="T68" s="66"/>
      <c r="U68" s="66"/>
      <c r="V68" s="66"/>
    </row>
    <row r="69" spans="1:22" s="3" customFormat="1" ht="72">
      <c r="A69" s="23" t="s">
        <v>81</v>
      </c>
      <c r="B69" s="14" t="s">
        <v>34</v>
      </c>
      <c r="C69" s="23" t="s">
        <v>72</v>
      </c>
      <c r="D69" s="19" t="s">
        <v>170</v>
      </c>
      <c r="E69" s="14" t="s">
        <v>97</v>
      </c>
      <c r="F69" s="23" t="s">
        <v>152</v>
      </c>
      <c r="G69" s="14" t="s">
        <v>153</v>
      </c>
      <c r="H69" s="14" t="s">
        <v>42</v>
      </c>
      <c r="I69" s="23" t="s">
        <v>38</v>
      </c>
      <c r="J69" s="14" t="s">
        <v>39</v>
      </c>
      <c r="K69" s="17">
        <f>636000*1.18</f>
        <v>750480</v>
      </c>
      <c r="L69" s="14" t="s">
        <v>135</v>
      </c>
      <c r="M69" s="14" t="s">
        <v>143</v>
      </c>
      <c r="N69" s="14" t="s">
        <v>43</v>
      </c>
      <c r="O69" s="66" t="s">
        <v>41</v>
      </c>
      <c r="P69" s="66"/>
      <c r="Q69" s="66"/>
      <c r="R69" s="66"/>
      <c r="S69" s="66"/>
      <c r="T69" s="66"/>
      <c r="U69" s="66"/>
      <c r="V69" s="66"/>
    </row>
    <row r="70" spans="1:22" s="3" customFormat="1" ht="72">
      <c r="A70" s="23" t="s">
        <v>82</v>
      </c>
      <c r="B70" s="14" t="s">
        <v>34</v>
      </c>
      <c r="C70" s="23" t="s">
        <v>72</v>
      </c>
      <c r="D70" s="15" t="s">
        <v>212</v>
      </c>
      <c r="E70" s="14" t="s">
        <v>95</v>
      </c>
      <c r="F70" s="23" t="s">
        <v>36</v>
      </c>
      <c r="G70" s="14" t="s">
        <v>37</v>
      </c>
      <c r="H70" s="14" t="s">
        <v>42</v>
      </c>
      <c r="I70" s="23" t="s">
        <v>38</v>
      </c>
      <c r="J70" s="14" t="s">
        <v>39</v>
      </c>
      <c r="K70" s="17">
        <f>373000*1.18</f>
        <v>440140</v>
      </c>
      <c r="L70" s="14" t="s">
        <v>135</v>
      </c>
      <c r="M70" s="14" t="s">
        <v>136</v>
      </c>
      <c r="N70" s="14" t="s">
        <v>43</v>
      </c>
      <c r="O70" s="67" t="s">
        <v>41</v>
      </c>
      <c r="P70" s="70"/>
      <c r="Q70" s="70"/>
      <c r="R70" s="70"/>
      <c r="S70" s="70"/>
      <c r="T70" s="70"/>
      <c r="U70" s="70"/>
      <c r="V70" s="71"/>
    </row>
    <row r="71" spans="1:22" s="3" customFormat="1" ht="72">
      <c r="A71" s="23" t="s">
        <v>83</v>
      </c>
      <c r="B71" s="14" t="s">
        <v>34</v>
      </c>
      <c r="C71" s="23" t="s">
        <v>72</v>
      </c>
      <c r="D71" s="19" t="s">
        <v>98</v>
      </c>
      <c r="E71" s="14" t="s">
        <v>97</v>
      </c>
      <c r="F71" s="23" t="s">
        <v>36</v>
      </c>
      <c r="G71" s="14" t="s">
        <v>37</v>
      </c>
      <c r="H71" s="14" t="s">
        <v>42</v>
      </c>
      <c r="I71" s="23" t="s">
        <v>38</v>
      </c>
      <c r="J71" s="14" t="s">
        <v>39</v>
      </c>
      <c r="K71" s="17">
        <f>977000*1.18</f>
        <v>1152860</v>
      </c>
      <c r="L71" s="14" t="s">
        <v>135</v>
      </c>
      <c r="M71" s="14" t="s">
        <v>136</v>
      </c>
      <c r="N71" s="14" t="s">
        <v>43</v>
      </c>
      <c r="O71" s="66" t="s">
        <v>41</v>
      </c>
      <c r="P71" s="66"/>
      <c r="Q71" s="66"/>
      <c r="R71" s="66"/>
      <c r="S71" s="66"/>
      <c r="T71" s="66"/>
      <c r="U71" s="66"/>
      <c r="V71" s="66"/>
    </row>
    <row r="72" spans="1:22" s="3" customFormat="1" ht="78.75">
      <c r="A72" s="23" t="s">
        <v>84</v>
      </c>
      <c r="B72" s="14" t="s">
        <v>34</v>
      </c>
      <c r="C72" s="23" t="s">
        <v>72</v>
      </c>
      <c r="D72" s="15" t="s">
        <v>180</v>
      </c>
      <c r="E72" s="14" t="s">
        <v>95</v>
      </c>
      <c r="F72" s="23" t="s">
        <v>152</v>
      </c>
      <c r="G72" s="14" t="s">
        <v>153</v>
      </c>
      <c r="H72" s="14" t="s">
        <v>181</v>
      </c>
      <c r="I72" s="23" t="s">
        <v>38</v>
      </c>
      <c r="J72" s="14" t="s">
        <v>39</v>
      </c>
      <c r="K72" s="17">
        <f>133000*1.18</f>
        <v>156940</v>
      </c>
      <c r="L72" s="14" t="s">
        <v>135</v>
      </c>
      <c r="M72" s="14" t="s">
        <v>136</v>
      </c>
      <c r="N72" s="14" t="s">
        <v>43</v>
      </c>
      <c r="O72" s="66" t="s">
        <v>41</v>
      </c>
      <c r="P72" s="66"/>
      <c r="Q72" s="66"/>
      <c r="R72" s="66"/>
      <c r="S72" s="66"/>
      <c r="T72" s="66"/>
      <c r="U72" s="66"/>
      <c r="V72" s="66"/>
    </row>
    <row r="73" spans="1:22" s="3" customFormat="1" ht="72">
      <c r="A73" s="23" t="s">
        <v>86</v>
      </c>
      <c r="B73" s="14" t="s">
        <v>34</v>
      </c>
      <c r="C73" s="23" t="s">
        <v>72</v>
      </c>
      <c r="D73" s="19" t="s">
        <v>218</v>
      </c>
      <c r="E73" s="14" t="s">
        <v>97</v>
      </c>
      <c r="F73" s="23" t="s">
        <v>36</v>
      </c>
      <c r="G73" s="14" t="s">
        <v>37</v>
      </c>
      <c r="H73" s="14" t="s">
        <v>42</v>
      </c>
      <c r="I73" s="23" t="s">
        <v>38</v>
      </c>
      <c r="J73" s="14" t="s">
        <v>39</v>
      </c>
      <c r="K73" s="17">
        <f>766000*1.18</f>
        <v>903880</v>
      </c>
      <c r="L73" s="14" t="s">
        <v>135</v>
      </c>
      <c r="M73" s="14" t="s">
        <v>136</v>
      </c>
      <c r="N73" s="14" t="s">
        <v>43</v>
      </c>
      <c r="O73" s="66" t="s">
        <v>41</v>
      </c>
      <c r="P73" s="66"/>
      <c r="Q73" s="66"/>
      <c r="R73" s="66"/>
      <c r="S73" s="66"/>
      <c r="T73" s="66"/>
      <c r="U73" s="66"/>
      <c r="V73" s="66"/>
    </row>
    <row r="74" spans="1:22" s="3" customFormat="1" ht="72">
      <c r="A74" s="23" t="s">
        <v>87</v>
      </c>
      <c r="B74" s="14" t="s">
        <v>34</v>
      </c>
      <c r="C74" s="23" t="s">
        <v>72</v>
      </c>
      <c r="D74" s="19" t="s">
        <v>238</v>
      </c>
      <c r="E74" s="14" t="s">
        <v>97</v>
      </c>
      <c r="F74" s="23" t="s">
        <v>36</v>
      </c>
      <c r="G74" s="14" t="s">
        <v>37</v>
      </c>
      <c r="H74" s="14" t="s">
        <v>42</v>
      </c>
      <c r="I74" s="23" t="s">
        <v>38</v>
      </c>
      <c r="J74" s="14" t="s">
        <v>39</v>
      </c>
      <c r="K74" s="17">
        <f>2054000*1.18</f>
        <v>2423720</v>
      </c>
      <c r="L74" s="14" t="s">
        <v>135</v>
      </c>
      <c r="M74" s="14" t="s">
        <v>136</v>
      </c>
      <c r="N74" s="14" t="s">
        <v>43</v>
      </c>
      <c r="O74" s="66" t="s">
        <v>41</v>
      </c>
      <c r="P74" s="66"/>
      <c r="Q74" s="66"/>
      <c r="R74" s="66"/>
      <c r="S74" s="66"/>
      <c r="T74" s="66"/>
      <c r="U74" s="66"/>
      <c r="V74" s="66"/>
    </row>
    <row r="75" spans="1:22" s="3" customFormat="1" ht="72">
      <c r="A75" s="23" t="s">
        <v>88</v>
      </c>
      <c r="B75" s="14" t="s">
        <v>34</v>
      </c>
      <c r="C75" s="23" t="s">
        <v>72</v>
      </c>
      <c r="D75" s="15" t="s">
        <v>150</v>
      </c>
      <c r="E75" s="14" t="s">
        <v>95</v>
      </c>
      <c r="F75" s="23" t="s">
        <v>36</v>
      </c>
      <c r="G75" s="14" t="s">
        <v>37</v>
      </c>
      <c r="H75" s="14" t="s">
        <v>42</v>
      </c>
      <c r="I75" s="23" t="s">
        <v>38</v>
      </c>
      <c r="J75" s="14" t="s">
        <v>39</v>
      </c>
      <c r="K75" s="17">
        <f>1750000*1.18</f>
        <v>2065000</v>
      </c>
      <c r="L75" s="14" t="s">
        <v>136</v>
      </c>
      <c r="M75" s="14" t="s">
        <v>143</v>
      </c>
      <c r="N75" s="14" t="s">
        <v>43</v>
      </c>
      <c r="O75" s="66" t="s">
        <v>41</v>
      </c>
      <c r="P75" s="66"/>
      <c r="Q75" s="66"/>
      <c r="R75" s="66"/>
      <c r="S75" s="66"/>
      <c r="T75" s="66"/>
      <c r="U75" s="66"/>
      <c r="V75" s="66"/>
    </row>
    <row r="76" spans="1:22" s="3" customFormat="1" ht="72">
      <c r="A76" s="23" t="s">
        <v>89</v>
      </c>
      <c r="B76" s="14" t="s">
        <v>34</v>
      </c>
      <c r="C76" s="23" t="s">
        <v>72</v>
      </c>
      <c r="D76" s="15" t="s">
        <v>234</v>
      </c>
      <c r="E76" s="14" t="s">
        <v>95</v>
      </c>
      <c r="F76" s="23" t="s">
        <v>36</v>
      </c>
      <c r="G76" s="14" t="s">
        <v>37</v>
      </c>
      <c r="H76" s="14" t="s">
        <v>42</v>
      </c>
      <c r="I76" s="23" t="s">
        <v>38</v>
      </c>
      <c r="J76" s="14" t="s">
        <v>39</v>
      </c>
      <c r="K76" s="17">
        <f>4832000*1.18</f>
        <v>5701760</v>
      </c>
      <c r="L76" s="14" t="s">
        <v>136</v>
      </c>
      <c r="M76" s="14" t="s">
        <v>137</v>
      </c>
      <c r="N76" s="14" t="s">
        <v>43</v>
      </c>
      <c r="O76" s="66" t="s">
        <v>41</v>
      </c>
      <c r="P76" s="66"/>
      <c r="Q76" s="66"/>
      <c r="R76" s="66"/>
      <c r="S76" s="66"/>
      <c r="T76" s="66"/>
      <c r="U76" s="66"/>
      <c r="V76" s="66"/>
    </row>
    <row r="77" spans="1:22" s="3" customFormat="1" ht="72">
      <c r="A77" s="23" t="s">
        <v>90</v>
      </c>
      <c r="B77" s="14" t="s">
        <v>34</v>
      </c>
      <c r="C77" s="23" t="s">
        <v>72</v>
      </c>
      <c r="D77" s="15" t="s">
        <v>168</v>
      </c>
      <c r="E77" s="14" t="s">
        <v>97</v>
      </c>
      <c r="F77" s="23" t="s">
        <v>36</v>
      </c>
      <c r="G77" s="14" t="s">
        <v>37</v>
      </c>
      <c r="H77" s="14" t="s">
        <v>42</v>
      </c>
      <c r="I77" s="23" t="s">
        <v>38</v>
      </c>
      <c r="J77" s="14" t="s">
        <v>39</v>
      </c>
      <c r="K77" s="17">
        <f>370000*1.18</f>
        <v>436600</v>
      </c>
      <c r="L77" s="14" t="s">
        <v>136</v>
      </c>
      <c r="M77" s="14" t="s">
        <v>137</v>
      </c>
      <c r="N77" s="14" t="s">
        <v>43</v>
      </c>
      <c r="O77" s="66" t="s">
        <v>41</v>
      </c>
      <c r="P77" s="66"/>
      <c r="Q77" s="66"/>
      <c r="R77" s="66"/>
      <c r="S77" s="66"/>
      <c r="T77" s="66"/>
      <c r="U77" s="66"/>
      <c r="V77" s="66"/>
    </row>
    <row r="78" spans="1:22" s="3" customFormat="1" ht="15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1">
        <f>SUM(K60:K77)</f>
        <v>36903320</v>
      </c>
      <c r="L78" s="20"/>
      <c r="M78" s="20"/>
      <c r="N78" s="20"/>
      <c r="O78" s="86"/>
      <c r="P78" s="68"/>
      <c r="Q78" s="68"/>
      <c r="R78" s="68"/>
      <c r="S78" s="68"/>
      <c r="T78" s="68"/>
      <c r="U78" s="68"/>
      <c r="V78" s="69"/>
    </row>
    <row r="79" spans="1:22" s="3" customFormat="1" ht="15">
      <c r="A79" s="94" t="s">
        <v>100</v>
      </c>
      <c r="B79" s="95"/>
      <c r="C79" s="95"/>
      <c r="D79" s="95"/>
      <c r="E79" s="95"/>
      <c r="F79" s="95"/>
      <c r="G79" s="95"/>
      <c r="H79" s="95"/>
      <c r="I79" s="95"/>
      <c r="J79" s="95"/>
      <c r="K79" s="95"/>
      <c r="L79" s="95"/>
      <c r="M79" s="95"/>
      <c r="N79" s="95"/>
      <c r="O79" s="95"/>
      <c r="P79" s="95"/>
      <c r="Q79" s="95"/>
      <c r="R79" s="95"/>
      <c r="S79" s="95"/>
      <c r="T79" s="95"/>
      <c r="U79" s="95"/>
      <c r="V79" s="96"/>
    </row>
    <row r="80" spans="1:22" s="3" customFormat="1" ht="72">
      <c r="A80" s="23" t="s">
        <v>92</v>
      </c>
      <c r="B80" s="14" t="s">
        <v>34</v>
      </c>
      <c r="C80" s="23" t="s">
        <v>101</v>
      </c>
      <c r="D80" s="15" t="s">
        <v>237</v>
      </c>
      <c r="E80" s="14" t="s">
        <v>96</v>
      </c>
      <c r="F80" s="23" t="s">
        <v>36</v>
      </c>
      <c r="G80" s="14" t="s">
        <v>37</v>
      </c>
      <c r="H80" s="23" t="s">
        <v>30</v>
      </c>
      <c r="I80" s="23" t="s">
        <v>38</v>
      </c>
      <c r="J80" s="14" t="s">
        <v>39</v>
      </c>
      <c r="K80" s="22">
        <f>4371959.88*1.18</f>
        <v>5158912.658399999</v>
      </c>
      <c r="L80" s="14" t="s">
        <v>132</v>
      </c>
      <c r="M80" s="14" t="s">
        <v>175</v>
      </c>
      <c r="N80" s="14" t="s">
        <v>102</v>
      </c>
      <c r="O80" s="66" t="s">
        <v>41</v>
      </c>
      <c r="P80" s="66"/>
      <c r="Q80" s="66"/>
      <c r="R80" s="66"/>
      <c r="S80" s="66"/>
      <c r="T80" s="66"/>
      <c r="U80" s="66"/>
      <c r="V80" s="66"/>
    </row>
    <row r="81" spans="1:22" s="3" customFormat="1" ht="72">
      <c r="A81" s="23" t="s">
        <v>94</v>
      </c>
      <c r="B81" s="14" t="s">
        <v>34</v>
      </c>
      <c r="C81" s="23" t="s">
        <v>103</v>
      </c>
      <c r="D81" s="18" t="s">
        <v>104</v>
      </c>
      <c r="E81" s="14" t="s">
        <v>105</v>
      </c>
      <c r="F81" s="23" t="s">
        <v>36</v>
      </c>
      <c r="G81" s="14" t="s">
        <v>37</v>
      </c>
      <c r="H81" s="23" t="s">
        <v>30</v>
      </c>
      <c r="I81" s="23" t="s">
        <v>38</v>
      </c>
      <c r="J81" s="14" t="s">
        <v>39</v>
      </c>
      <c r="K81" s="17">
        <v>119623682.67</v>
      </c>
      <c r="L81" s="23" t="s">
        <v>132</v>
      </c>
      <c r="M81" s="14" t="s">
        <v>236</v>
      </c>
      <c r="N81" s="14" t="s">
        <v>51</v>
      </c>
      <c r="O81" s="66" t="s">
        <v>41</v>
      </c>
      <c r="P81" s="66"/>
      <c r="Q81" s="66"/>
      <c r="R81" s="66"/>
      <c r="S81" s="66"/>
      <c r="T81" s="66"/>
      <c r="U81" s="66"/>
      <c r="V81" s="66"/>
    </row>
    <row r="82" spans="1:22" s="3" customFormat="1" ht="72">
      <c r="A82" s="23" t="s">
        <v>251</v>
      </c>
      <c r="B82" s="23" t="s">
        <v>77</v>
      </c>
      <c r="C82" s="14" t="s">
        <v>106</v>
      </c>
      <c r="D82" s="18" t="s">
        <v>107</v>
      </c>
      <c r="E82" s="14" t="s">
        <v>105</v>
      </c>
      <c r="F82" s="23" t="s">
        <v>69</v>
      </c>
      <c r="G82" s="14" t="s">
        <v>70</v>
      </c>
      <c r="H82" s="14" t="s">
        <v>42</v>
      </c>
      <c r="I82" s="23" t="s">
        <v>38</v>
      </c>
      <c r="J82" s="14" t="s">
        <v>39</v>
      </c>
      <c r="K82" s="17">
        <f>342316.36*1.18</f>
        <v>403933.3048</v>
      </c>
      <c r="L82" s="23" t="s">
        <v>132</v>
      </c>
      <c r="M82" s="14" t="s">
        <v>236</v>
      </c>
      <c r="N82" s="14" t="s">
        <v>102</v>
      </c>
      <c r="O82" s="66" t="s">
        <v>41</v>
      </c>
      <c r="P82" s="66"/>
      <c r="Q82" s="66"/>
      <c r="R82" s="66"/>
      <c r="S82" s="66"/>
      <c r="T82" s="66"/>
      <c r="U82" s="66"/>
      <c r="V82" s="66"/>
    </row>
    <row r="83" spans="1:22" s="3" customFormat="1" ht="72">
      <c r="A83" s="23" t="s">
        <v>252</v>
      </c>
      <c r="B83" s="14" t="s">
        <v>34</v>
      </c>
      <c r="C83" s="23" t="s">
        <v>113</v>
      </c>
      <c r="D83" s="18" t="s">
        <v>114</v>
      </c>
      <c r="E83" s="14" t="s">
        <v>105</v>
      </c>
      <c r="F83" s="23" t="s">
        <v>69</v>
      </c>
      <c r="G83" s="14" t="s">
        <v>70</v>
      </c>
      <c r="H83" s="14" t="s">
        <v>42</v>
      </c>
      <c r="I83" s="23" t="s">
        <v>38</v>
      </c>
      <c r="J83" s="14" t="s">
        <v>39</v>
      </c>
      <c r="K83" s="17">
        <v>1323343000</v>
      </c>
      <c r="L83" s="23" t="s">
        <v>132</v>
      </c>
      <c r="M83" s="14" t="s">
        <v>236</v>
      </c>
      <c r="N83" s="14" t="s">
        <v>102</v>
      </c>
      <c r="O83" s="66" t="s">
        <v>41</v>
      </c>
      <c r="P83" s="66"/>
      <c r="Q83" s="66"/>
      <c r="R83" s="66"/>
      <c r="S83" s="66"/>
      <c r="T83" s="66"/>
      <c r="U83" s="66"/>
      <c r="V83" s="66"/>
    </row>
    <row r="84" spans="1:22" s="3" customFormat="1" ht="72">
      <c r="A84" s="23" t="s">
        <v>253</v>
      </c>
      <c r="B84" s="14" t="s">
        <v>34</v>
      </c>
      <c r="C84" s="23" t="s">
        <v>113</v>
      </c>
      <c r="D84" s="18" t="s">
        <v>115</v>
      </c>
      <c r="E84" s="14" t="s">
        <v>105</v>
      </c>
      <c r="F84" s="23" t="s">
        <v>69</v>
      </c>
      <c r="G84" s="14" t="s">
        <v>70</v>
      </c>
      <c r="H84" s="14" t="s">
        <v>42</v>
      </c>
      <c r="I84" s="23" t="s">
        <v>38</v>
      </c>
      <c r="J84" s="14" t="s">
        <v>39</v>
      </c>
      <c r="K84" s="17">
        <v>259324817.16</v>
      </c>
      <c r="L84" s="23" t="s">
        <v>132</v>
      </c>
      <c r="M84" s="14" t="s">
        <v>236</v>
      </c>
      <c r="N84" s="14" t="s">
        <v>102</v>
      </c>
      <c r="O84" s="66" t="s">
        <v>41</v>
      </c>
      <c r="P84" s="66"/>
      <c r="Q84" s="66"/>
      <c r="R84" s="66"/>
      <c r="S84" s="66"/>
      <c r="T84" s="66"/>
      <c r="U84" s="66"/>
      <c r="V84" s="66"/>
    </row>
    <row r="85" spans="1:22" s="3" customFormat="1" ht="72">
      <c r="A85" s="23" t="s">
        <v>254</v>
      </c>
      <c r="B85" s="14" t="s">
        <v>34</v>
      </c>
      <c r="C85" s="23" t="s">
        <v>72</v>
      </c>
      <c r="D85" s="15" t="s">
        <v>202</v>
      </c>
      <c r="E85" s="14" t="s">
        <v>118</v>
      </c>
      <c r="F85" s="23" t="s">
        <v>36</v>
      </c>
      <c r="G85" s="14" t="s">
        <v>37</v>
      </c>
      <c r="H85" s="14" t="s">
        <v>42</v>
      </c>
      <c r="I85" s="23" t="s">
        <v>38</v>
      </c>
      <c r="J85" s="14" t="s">
        <v>39</v>
      </c>
      <c r="K85" s="22">
        <f>3663000*1.18</f>
        <v>4322340</v>
      </c>
      <c r="L85" s="14" t="s">
        <v>133</v>
      </c>
      <c r="M85" s="14" t="s">
        <v>203</v>
      </c>
      <c r="N85" s="14" t="s">
        <v>43</v>
      </c>
      <c r="O85" s="67" t="s">
        <v>41</v>
      </c>
      <c r="P85" s="68"/>
      <c r="Q85" s="68"/>
      <c r="R85" s="68"/>
      <c r="S85" s="68"/>
      <c r="T85" s="68"/>
      <c r="U85" s="68"/>
      <c r="V85" s="69"/>
    </row>
    <row r="86" spans="1:22" s="3" customFormat="1" ht="72">
      <c r="A86" s="23" t="s">
        <v>255</v>
      </c>
      <c r="B86" s="14" t="s">
        <v>34</v>
      </c>
      <c r="C86" s="23" t="s">
        <v>72</v>
      </c>
      <c r="D86" s="15" t="s">
        <v>204</v>
      </c>
      <c r="E86" s="14" t="s">
        <v>118</v>
      </c>
      <c r="F86" s="23" t="s">
        <v>36</v>
      </c>
      <c r="G86" s="14" t="s">
        <v>37</v>
      </c>
      <c r="H86" s="14" t="s">
        <v>42</v>
      </c>
      <c r="I86" s="23" t="s">
        <v>38</v>
      </c>
      <c r="J86" s="14" t="s">
        <v>39</v>
      </c>
      <c r="K86" s="22">
        <f>190000*1.18</f>
        <v>224200</v>
      </c>
      <c r="L86" s="14" t="s">
        <v>144</v>
      </c>
      <c r="M86" s="14" t="s">
        <v>134</v>
      </c>
      <c r="N86" s="14" t="s">
        <v>43</v>
      </c>
      <c r="O86" s="67" t="s">
        <v>41</v>
      </c>
      <c r="P86" s="68"/>
      <c r="Q86" s="68"/>
      <c r="R86" s="68"/>
      <c r="S86" s="68"/>
      <c r="T86" s="68"/>
      <c r="U86" s="68"/>
      <c r="V86" s="69"/>
    </row>
    <row r="87" spans="1:22" s="3" customFormat="1" ht="72">
      <c r="A87" s="23" t="s">
        <v>256</v>
      </c>
      <c r="B87" s="14" t="s">
        <v>34</v>
      </c>
      <c r="C87" s="23" t="s">
        <v>108</v>
      </c>
      <c r="D87" s="15" t="s">
        <v>217</v>
      </c>
      <c r="E87" s="14" t="s">
        <v>118</v>
      </c>
      <c r="F87" s="23" t="s">
        <v>36</v>
      </c>
      <c r="G87" s="14" t="s">
        <v>37</v>
      </c>
      <c r="H87" s="14" t="s">
        <v>42</v>
      </c>
      <c r="I87" s="23" t="s">
        <v>38</v>
      </c>
      <c r="J87" s="14" t="s">
        <v>39</v>
      </c>
      <c r="K87" s="22">
        <f>200000*1.18</f>
        <v>236000</v>
      </c>
      <c r="L87" s="14" t="s">
        <v>144</v>
      </c>
      <c r="M87" s="14" t="s">
        <v>134</v>
      </c>
      <c r="N87" s="14" t="s">
        <v>49</v>
      </c>
      <c r="O87" s="67" t="s">
        <v>41</v>
      </c>
      <c r="P87" s="68"/>
      <c r="Q87" s="68"/>
      <c r="R87" s="68"/>
      <c r="S87" s="68"/>
      <c r="T87" s="68"/>
      <c r="U87" s="68"/>
      <c r="V87" s="69"/>
    </row>
    <row r="88" spans="1:22" s="3" customFormat="1" ht="72">
      <c r="A88" s="23" t="s">
        <v>257</v>
      </c>
      <c r="B88" s="14" t="s">
        <v>129</v>
      </c>
      <c r="C88" s="23" t="s">
        <v>225</v>
      </c>
      <c r="D88" s="15" t="s">
        <v>226</v>
      </c>
      <c r="E88" s="14" t="s">
        <v>118</v>
      </c>
      <c r="F88" s="23" t="s">
        <v>36</v>
      </c>
      <c r="G88" s="14" t="s">
        <v>37</v>
      </c>
      <c r="H88" s="14" t="s">
        <v>42</v>
      </c>
      <c r="I88" s="23" t="s">
        <v>38</v>
      </c>
      <c r="J88" s="14" t="s">
        <v>39</v>
      </c>
      <c r="K88" s="22">
        <f>110000*1.18</f>
        <v>129800</v>
      </c>
      <c r="L88" s="14" t="s">
        <v>144</v>
      </c>
      <c r="M88" s="14" t="s">
        <v>134</v>
      </c>
      <c r="N88" s="14" t="s">
        <v>49</v>
      </c>
      <c r="O88" s="67" t="s">
        <v>41</v>
      </c>
      <c r="P88" s="68"/>
      <c r="Q88" s="68"/>
      <c r="R88" s="68"/>
      <c r="S88" s="68"/>
      <c r="T88" s="68"/>
      <c r="U88" s="68"/>
      <c r="V88" s="69"/>
    </row>
    <row r="89" spans="1:22" s="3" customFormat="1" ht="72">
      <c r="A89" s="23" t="s">
        <v>258</v>
      </c>
      <c r="B89" s="14" t="s">
        <v>34</v>
      </c>
      <c r="C89" s="23" t="s">
        <v>108</v>
      </c>
      <c r="D89" s="18" t="s">
        <v>224</v>
      </c>
      <c r="E89" s="14" t="s">
        <v>223</v>
      </c>
      <c r="F89" s="23" t="s">
        <v>36</v>
      </c>
      <c r="G89" s="14" t="s">
        <v>37</v>
      </c>
      <c r="H89" s="14" t="s">
        <v>42</v>
      </c>
      <c r="I89" s="23" t="s">
        <v>38</v>
      </c>
      <c r="J89" s="14" t="s">
        <v>39</v>
      </c>
      <c r="K89" s="17">
        <f>1021400*1.18</f>
        <v>1205252</v>
      </c>
      <c r="L89" s="23" t="s">
        <v>136</v>
      </c>
      <c r="M89" s="14" t="s">
        <v>137</v>
      </c>
      <c r="N89" s="14" t="s">
        <v>43</v>
      </c>
      <c r="O89" s="66" t="s">
        <v>41</v>
      </c>
      <c r="P89" s="66"/>
      <c r="Q89" s="66"/>
      <c r="R89" s="66"/>
      <c r="S89" s="66"/>
      <c r="T89" s="66"/>
      <c r="U89" s="66"/>
      <c r="V89" s="66"/>
    </row>
    <row r="90" spans="1:22" s="3" customFormat="1" ht="72">
      <c r="A90" s="23" t="s">
        <v>259</v>
      </c>
      <c r="B90" s="14" t="s">
        <v>34</v>
      </c>
      <c r="C90" s="23" t="s">
        <v>116</v>
      </c>
      <c r="D90" s="18" t="s">
        <v>172</v>
      </c>
      <c r="E90" s="14" t="s">
        <v>117</v>
      </c>
      <c r="F90" s="23" t="s">
        <v>36</v>
      </c>
      <c r="G90" s="14" t="s">
        <v>37</v>
      </c>
      <c r="H90" s="14" t="s">
        <v>42</v>
      </c>
      <c r="I90" s="23" t="s">
        <v>38</v>
      </c>
      <c r="J90" s="14" t="s">
        <v>39</v>
      </c>
      <c r="K90" s="17">
        <v>450000</v>
      </c>
      <c r="L90" s="23" t="s">
        <v>138</v>
      </c>
      <c r="M90" s="14" t="s">
        <v>230</v>
      </c>
      <c r="N90" s="14" t="s">
        <v>171</v>
      </c>
      <c r="O90" s="66" t="s">
        <v>41</v>
      </c>
      <c r="P90" s="93"/>
      <c r="Q90" s="93"/>
      <c r="R90" s="93"/>
      <c r="S90" s="93"/>
      <c r="T90" s="93"/>
      <c r="U90" s="93"/>
      <c r="V90" s="93"/>
    </row>
    <row r="91" spans="1:22" s="3" customFormat="1" ht="72">
      <c r="A91" s="23" t="s">
        <v>260</v>
      </c>
      <c r="B91" s="14" t="s">
        <v>34</v>
      </c>
      <c r="C91" s="23" t="s">
        <v>101</v>
      </c>
      <c r="D91" s="15" t="s">
        <v>174</v>
      </c>
      <c r="E91" s="14" t="s">
        <v>93</v>
      </c>
      <c r="F91" s="23" t="s">
        <v>36</v>
      </c>
      <c r="G91" s="14" t="s">
        <v>37</v>
      </c>
      <c r="H91" s="14" t="s">
        <v>42</v>
      </c>
      <c r="I91" s="23" t="s">
        <v>38</v>
      </c>
      <c r="J91" s="14" t="s">
        <v>39</v>
      </c>
      <c r="K91" s="22">
        <f>339738.98*1.18</f>
        <v>400891.99639999995</v>
      </c>
      <c r="L91" s="14" t="s">
        <v>139</v>
      </c>
      <c r="M91" s="14" t="s">
        <v>173</v>
      </c>
      <c r="N91" s="14" t="s">
        <v>102</v>
      </c>
      <c r="O91" s="67" t="s">
        <v>41</v>
      </c>
      <c r="P91" s="70"/>
      <c r="Q91" s="70"/>
      <c r="R91" s="70"/>
      <c r="S91" s="70"/>
      <c r="T91" s="70"/>
      <c r="U91" s="70"/>
      <c r="V91" s="71"/>
    </row>
    <row r="92" spans="1:22" s="3" customFormat="1" ht="72">
      <c r="A92" s="23" t="s">
        <v>261</v>
      </c>
      <c r="B92" s="14" t="s">
        <v>34</v>
      </c>
      <c r="C92" s="23" t="s">
        <v>101</v>
      </c>
      <c r="D92" s="18" t="s">
        <v>109</v>
      </c>
      <c r="E92" s="14" t="s">
        <v>93</v>
      </c>
      <c r="F92" s="23" t="s">
        <v>36</v>
      </c>
      <c r="G92" s="14" t="s">
        <v>37</v>
      </c>
      <c r="H92" s="14" t="s">
        <v>42</v>
      </c>
      <c r="I92" s="23" t="s">
        <v>38</v>
      </c>
      <c r="J92" s="14" t="s">
        <v>39</v>
      </c>
      <c r="K92" s="17">
        <f>355300*1.18</f>
        <v>419254</v>
      </c>
      <c r="L92" s="23" t="s">
        <v>139</v>
      </c>
      <c r="M92" s="14" t="s">
        <v>231</v>
      </c>
      <c r="N92" s="14" t="s">
        <v>102</v>
      </c>
      <c r="O92" s="66" t="s">
        <v>41</v>
      </c>
      <c r="P92" s="66"/>
      <c r="Q92" s="66"/>
      <c r="R92" s="66"/>
      <c r="S92" s="66"/>
      <c r="T92" s="66"/>
      <c r="U92" s="66"/>
      <c r="V92" s="66"/>
    </row>
    <row r="93" spans="1:22" s="3" customFormat="1" ht="72">
      <c r="A93" s="23" t="s">
        <v>262</v>
      </c>
      <c r="B93" s="14" t="s">
        <v>34</v>
      </c>
      <c r="C93" s="23" t="s">
        <v>110</v>
      </c>
      <c r="D93" s="18" t="s">
        <v>111</v>
      </c>
      <c r="E93" s="14" t="s">
        <v>112</v>
      </c>
      <c r="F93" s="23" t="s">
        <v>69</v>
      </c>
      <c r="G93" s="14" t="s">
        <v>70</v>
      </c>
      <c r="H93" s="14" t="s">
        <v>42</v>
      </c>
      <c r="I93" s="23" t="s">
        <v>38</v>
      </c>
      <c r="J93" s="14" t="s">
        <v>39</v>
      </c>
      <c r="K93" s="17">
        <v>4985493.11</v>
      </c>
      <c r="L93" s="23" t="s">
        <v>139</v>
      </c>
      <c r="M93" s="14" t="s">
        <v>232</v>
      </c>
      <c r="N93" s="14" t="s">
        <v>43</v>
      </c>
      <c r="O93" s="66" t="s">
        <v>41</v>
      </c>
      <c r="P93" s="66"/>
      <c r="Q93" s="66"/>
      <c r="R93" s="66"/>
      <c r="S93" s="66"/>
      <c r="T93" s="66"/>
      <c r="U93" s="66"/>
      <c r="V93" s="66"/>
    </row>
    <row r="94" spans="1:22" s="3" customFormat="1" ht="15">
      <c r="A94" s="33"/>
      <c r="B94" s="33"/>
      <c r="C94" s="33"/>
      <c r="D94" s="34"/>
      <c r="E94" s="35"/>
      <c r="F94" s="36"/>
      <c r="G94" s="35"/>
      <c r="H94" s="35"/>
      <c r="I94" s="33"/>
      <c r="J94" s="35"/>
      <c r="K94" s="37">
        <f>SUM(K80:K93)</f>
        <v>1720227576.8996</v>
      </c>
      <c r="L94" s="33"/>
      <c r="M94" s="35"/>
      <c r="N94" s="35"/>
      <c r="O94" s="76"/>
      <c r="P94" s="77"/>
      <c r="Q94" s="77"/>
      <c r="R94" s="77"/>
      <c r="S94" s="77"/>
      <c r="T94" s="77"/>
      <c r="U94" s="77"/>
      <c r="V94" s="78"/>
    </row>
    <row r="95" spans="1:22" s="3" customFormat="1" ht="15">
      <c r="A95" s="90" t="s">
        <v>119</v>
      </c>
      <c r="B95" s="91"/>
      <c r="C95" s="91"/>
      <c r="D95" s="91"/>
      <c r="E95" s="91"/>
      <c r="F95" s="91"/>
      <c r="G95" s="91"/>
      <c r="H95" s="91"/>
      <c r="I95" s="91"/>
      <c r="J95" s="91"/>
      <c r="K95" s="91"/>
      <c r="L95" s="91"/>
      <c r="M95" s="91"/>
      <c r="N95" s="91"/>
      <c r="O95" s="91"/>
      <c r="P95" s="91"/>
      <c r="Q95" s="91"/>
      <c r="R95" s="91"/>
      <c r="S95" s="91"/>
      <c r="T95" s="91"/>
      <c r="U95" s="91"/>
      <c r="V95" s="92"/>
    </row>
    <row r="96" spans="1:22" s="3" customFormat="1" ht="72">
      <c r="A96" s="38" t="s">
        <v>263</v>
      </c>
      <c r="B96" s="14" t="s">
        <v>34</v>
      </c>
      <c r="C96" s="39" t="s">
        <v>127</v>
      </c>
      <c r="D96" s="40" t="s">
        <v>187</v>
      </c>
      <c r="E96" s="41" t="s">
        <v>99</v>
      </c>
      <c r="F96" s="23" t="s">
        <v>36</v>
      </c>
      <c r="G96" s="14" t="s">
        <v>37</v>
      </c>
      <c r="H96" s="14" t="s">
        <v>30</v>
      </c>
      <c r="I96" s="23" t="s">
        <v>38</v>
      </c>
      <c r="J96" s="14" t="s">
        <v>39</v>
      </c>
      <c r="K96" s="42">
        <f>297000*1.18</f>
        <v>350460</v>
      </c>
      <c r="L96" s="43" t="s">
        <v>144</v>
      </c>
      <c r="M96" s="44" t="s">
        <v>134</v>
      </c>
      <c r="N96" s="14" t="s">
        <v>43</v>
      </c>
      <c r="O96" s="66" t="s">
        <v>41</v>
      </c>
      <c r="P96" s="66"/>
      <c r="Q96" s="66"/>
      <c r="R96" s="66"/>
      <c r="S96" s="66"/>
      <c r="T96" s="66"/>
      <c r="U96" s="66"/>
      <c r="V96" s="66"/>
    </row>
    <row r="97" spans="1:22" s="3" customFormat="1" ht="72">
      <c r="A97" s="38" t="s">
        <v>264</v>
      </c>
      <c r="B97" s="14" t="s">
        <v>34</v>
      </c>
      <c r="C97" s="39" t="s">
        <v>127</v>
      </c>
      <c r="D97" s="40" t="s">
        <v>193</v>
      </c>
      <c r="E97" s="41" t="s">
        <v>99</v>
      </c>
      <c r="F97" s="23" t="s">
        <v>36</v>
      </c>
      <c r="G97" s="14" t="s">
        <v>37</v>
      </c>
      <c r="H97" s="14" t="s">
        <v>30</v>
      </c>
      <c r="I97" s="23" t="s">
        <v>38</v>
      </c>
      <c r="J97" s="14" t="s">
        <v>39</v>
      </c>
      <c r="K97" s="42">
        <f>3806000*1.18</f>
        <v>4491080</v>
      </c>
      <c r="L97" s="45" t="s">
        <v>144</v>
      </c>
      <c r="M97" s="44" t="s">
        <v>134</v>
      </c>
      <c r="N97" s="14" t="s">
        <v>43</v>
      </c>
      <c r="O97" s="66" t="s">
        <v>41</v>
      </c>
      <c r="P97" s="66"/>
      <c r="Q97" s="66"/>
      <c r="R97" s="66"/>
      <c r="S97" s="66"/>
      <c r="T97" s="66"/>
      <c r="U97" s="66"/>
      <c r="V97" s="66"/>
    </row>
    <row r="98" spans="1:22" s="3" customFormat="1" ht="72">
      <c r="A98" s="38" t="s">
        <v>265</v>
      </c>
      <c r="B98" s="14" t="s">
        <v>129</v>
      </c>
      <c r="C98" s="39" t="s">
        <v>194</v>
      </c>
      <c r="D98" s="40" t="s">
        <v>195</v>
      </c>
      <c r="E98" s="41" t="s">
        <v>99</v>
      </c>
      <c r="F98" s="23" t="s">
        <v>36</v>
      </c>
      <c r="G98" s="14" t="s">
        <v>37</v>
      </c>
      <c r="H98" s="14" t="s">
        <v>30</v>
      </c>
      <c r="I98" s="23" t="s">
        <v>38</v>
      </c>
      <c r="J98" s="14" t="s">
        <v>39</v>
      </c>
      <c r="K98" s="42">
        <f>5515000*1.18</f>
        <v>6507700</v>
      </c>
      <c r="L98" s="45" t="s">
        <v>134</v>
      </c>
      <c r="M98" s="44" t="s">
        <v>166</v>
      </c>
      <c r="N98" s="14" t="s">
        <v>43</v>
      </c>
      <c r="O98" s="66" t="s">
        <v>41</v>
      </c>
      <c r="P98" s="66"/>
      <c r="Q98" s="66"/>
      <c r="R98" s="66"/>
      <c r="S98" s="66"/>
      <c r="T98" s="66"/>
      <c r="U98" s="66"/>
      <c r="V98" s="66"/>
    </row>
    <row r="99" spans="1:22" s="3" customFormat="1" ht="72">
      <c r="A99" s="38" t="s">
        <v>266</v>
      </c>
      <c r="B99" s="14" t="s">
        <v>34</v>
      </c>
      <c r="C99" s="39" t="s">
        <v>127</v>
      </c>
      <c r="D99" s="40" t="s">
        <v>169</v>
      </c>
      <c r="E99" s="41" t="s">
        <v>99</v>
      </c>
      <c r="F99" s="23" t="s">
        <v>36</v>
      </c>
      <c r="G99" s="14" t="s">
        <v>37</v>
      </c>
      <c r="H99" s="14" t="s">
        <v>30</v>
      </c>
      <c r="I99" s="23" t="s">
        <v>38</v>
      </c>
      <c r="J99" s="14" t="s">
        <v>39</v>
      </c>
      <c r="K99" s="42">
        <f>2408000*1.18</f>
        <v>2841440</v>
      </c>
      <c r="L99" s="23" t="s">
        <v>134</v>
      </c>
      <c r="M99" s="41" t="s">
        <v>166</v>
      </c>
      <c r="N99" s="14" t="s">
        <v>43</v>
      </c>
      <c r="O99" s="66" t="s">
        <v>41</v>
      </c>
      <c r="P99" s="66"/>
      <c r="Q99" s="66"/>
      <c r="R99" s="66"/>
      <c r="S99" s="66"/>
      <c r="T99" s="66"/>
      <c r="U99" s="66"/>
      <c r="V99" s="66"/>
    </row>
    <row r="100" spans="1:22" s="3" customFormat="1" ht="72">
      <c r="A100" s="38" t="s">
        <v>267</v>
      </c>
      <c r="B100" s="41" t="s">
        <v>34</v>
      </c>
      <c r="C100" s="46" t="s">
        <v>120</v>
      </c>
      <c r="D100" s="15" t="s">
        <v>163</v>
      </c>
      <c r="E100" s="41" t="s">
        <v>99</v>
      </c>
      <c r="F100" s="46" t="s">
        <v>36</v>
      </c>
      <c r="G100" s="41" t="s">
        <v>37</v>
      </c>
      <c r="H100" s="46" t="s">
        <v>30</v>
      </c>
      <c r="I100" s="46" t="s">
        <v>38</v>
      </c>
      <c r="J100" s="41" t="s">
        <v>39</v>
      </c>
      <c r="K100" s="47">
        <f>250000*1.18</f>
        <v>295000</v>
      </c>
      <c r="L100" s="46" t="s">
        <v>135</v>
      </c>
      <c r="M100" s="41" t="s">
        <v>143</v>
      </c>
      <c r="N100" s="41" t="s">
        <v>49</v>
      </c>
      <c r="O100" s="79" t="s">
        <v>41</v>
      </c>
      <c r="P100" s="80"/>
      <c r="Q100" s="80"/>
      <c r="R100" s="80"/>
      <c r="S100" s="80"/>
      <c r="T100" s="80"/>
      <c r="U100" s="80"/>
      <c r="V100" s="81"/>
    </row>
    <row r="101" spans="1:22" s="3" customFormat="1" ht="72">
      <c r="A101" s="38" t="s">
        <v>268</v>
      </c>
      <c r="B101" s="41" t="s">
        <v>129</v>
      </c>
      <c r="C101" s="46" t="s">
        <v>197</v>
      </c>
      <c r="D101" s="15" t="s">
        <v>198</v>
      </c>
      <c r="E101" s="41" t="s">
        <v>99</v>
      </c>
      <c r="F101" s="46" t="s">
        <v>190</v>
      </c>
      <c r="G101" s="41" t="s">
        <v>37</v>
      </c>
      <c r="H101" s="46" t="s">
        <v>31</v>
      </c>
      <c r="I101" s="46" t="s">
        <v>38</v>
      </c>
      <c r="J101" s="41" t="s">
        <v>39</v>
      </c>
      <c r="K101" s="47">
        <f>270000*1.18</f>
        <v>318600</v>
      </c>
      <c r="L101" s="46" t="s">
        <v>135</v>
      </c>
      <c r="M101" s="41" t="s">
        <v>136</v>
      </c>
      <c r="N101" s="41" t="s">
        <v>43</v>
      </c>
      <c r="O101" s="79" t="s">
        <v>41</v>
      </c>
      <c r="P101" s="80"/>
      <c r="Q101" s="80"/>
      <c r="R101" s="80"/>
      <c r="S101" s="80"/>
      <c r="T101" s="80"/>
      <c r="U101" s="80"/>
      <c r="V101" s="81"/>
    </row>
    <row r="102" spans="1:22" s="3" customFormat="1" ht="72">
      <c r="A102" s="38" t="s">
        <v>269</v>
      </c>
      <c r="B102" s="41" t="s">
        <v>34</v>
      </c>
      <c r="C102" s="46" t="s">
        <v>120</v>
      </c>
      <c r="D102" s="15" t="s">
        <v>164</v>
      </c>
      <c r="E102" s="41" t="s">
        <v>99</v>
      </c>
      <c r="F102" s="46" t="s">
        <v>36</v>
      </c>
      <c r="G102" s="41" t="s">
        <v>37</v>
      </c>
      <c r="H102" s="46" t="s">
        <v>47</v>
      </c>
      <c r="I102" s="46" t="s">
        <v>38</v>
      </c>
      <c r="J102" s="41" t="s">
        <v>39</v>
      </c>
      <c r="K102" s="48">
        <f>635000*1.18</f>
        <v>749300</v>
      </c>
      <c r="L102" s="46" t="s">
        <v>135</v>
      </c>
      <c r="M102" s="41" t="s">
        <v>149</v>
      </c>
      <c r="N102" s="41" t="s">
        <v>43</v>
      </c>
      <c r="O102" s="79" t="s">
        <v>41</v>
      </c>
      <c r="P102" s="80"/>
      <c r="Q102" s="80"/>
      <c r="R102" s="80"/>
      <c r="S102" s="80"/>
      <c r="T102" s="80"/>
      <c r="U102" s="80"/>
      <c r="V102" s="81"/>
    </row>
    <row r="103" spans="1:22" s="3" customFormat="1" ht="72">
      <c r="A103" s="38" t="s">
        <v>270</v>
      </c>
      <c r="B103" s="41" t="s">
        <v>34</v>
      </c>
      <c r="C103" s="46" t="s">
        <v>120</v>
      </c>
      <c r="D103" s="15" t="s">
        <v>162</v>
      </c>
      <c r="E103" s="41" t="s">
        <v>99</v>
      </c>
      <c r="F103" s="46" t="s">
        <v>36</v>
      </c>
      <c r="G103" s="41" t="s">
        <v>37</v>
      </c>
      <c r="H103" s="46" t="s">
        <v>30</v>
      </c>
      <c r="I103" s="46" t="s">
        <v>38</v>
      </c>
      <c r="J103" s="41" t="s">
        <v>39</v>
      </c>
      <c r="K103" s="47">
        <f>1500000*1.18</f>
        <v>1770000</v>
      </c>
      <c r="L103" s="46" t="s">
        <v>136</v>
      </c>
      <c r="M103" s="41" t="s">
        <v>149</v>
      </c>
      <c r="N103" s="41" t="s">
        <v>43</v>
      </c>
      <c r="O103" s="79" t="s">
        <v>41</v>
      </c>
      <c r="P103" s="80"/>
      <c r="Q103" s="80"/>
      <c r="R103" s="80"/>
      <c r="S103" s="80"/>
      <c r="T103" s="80"/>
      <c r="U103" s="80"/>
      <c r="V103" s="81"/>
    </row>
    <row r="104" spans="1:22" ht="72">
      <c r="A104" s="38" t="s">
        <v>271</v>
      </c>
      <c r="B104" s="41" t="s">
        <v>34</v>
      </c>
      <c r="C104" s="46" t="s">
        <v>120</v>
      </c>
      <c r="D104" s="15" t="s">
        <v>235</v>
      </c>
      <c r="E104" s="41" t="s">
        <v>99</v>
      </c>
      <c r="F104" s="46" t="s">
        <v>36</v>
      </c>
      <c r="G104" s="41" t="s">
        <v>37</v>
      </c>
      <c r="H104" s="46" t="s">
        <v>30</v>
      </c>
      <c r="I104" s="46" t="s">
        <v>38</v>
      </c>
      <c r="J104" s="41" t="s">
        <v>39</v>
      </c>
      <c r="K104" s="47">
        <f>491000*1.18</f>
        <v>579380</v>
      </c>
      <c r="L104" s="46" t="s">
        <v>137</v>
      </c>
      <c r="M104" s="41" t="s">
        <v>149</v>
      </c>
      <c r="N104" s="41" t="s">
        <v>43</v>
      </c>
      <c r="O104" s="79" t="s">
        <v>41</v>
      </c>
      <c r="P104" s="80"/>
      <c r="Q104" s="80"/>
      <c r="R104" s="80"/>
      <c r="S104" s="80"/>
      <c r="T104" s="80"/>
      <c r="U104" s="80"/>
      <c r="V104" s="81"/>
    </row>
    <row r="105" spans="1:22" s="3" customFormat="1" ht="15">
      <c r="A105" s="20"/>
      <c r="B105" s="20"/>
      <c r="C105" s="20"/>
      <c r="D105" s="20"/>
      <c r="E105" s="20"/>
      <c r="F105" s="20"/>
      <c r="G105" s="20"/>
      <c r="H105" s="20"/>
      <c r="I105" s="20"/>
      <c r="J105" s="20"/>
      <c r="K105" s="49">
        <f>SUM(K99:K104)</f>
        <v>6553720</v>
      </c>
      <c r="L105" s="20"/>
      <c r="M105" s="20"/>
      <c r="N105" s="20"/>
      <c r="O105" s="86"/>
      <c r="P105" s="68"/>
      <c r="Q105" s="68"/>
      <c r="R105" s="68"/>
      <c r="S105" s="68"/>
      <c r="T105" s="68"/>
      <c r="U105" s="68"/>
      <c r="V105" s="69"/>
    </row>
    <row r="106" spans="1:22" ht="15">
      <c r="A106" s="87" t="s">
        <v>121</v>
      </c>
      <c r="B106" s="88"/>
      <c r="C106" s="88"/>
      <c r="D106" s="88"/>
      <c r="E106" s="88"/>
      <c r="F106" s="88"/>
      <c r="G106" s="88"/>
      <c r="H106" s="88"/>
      <c r="I106" s="88"/>
      <c r="J106" s="89"/>
      <c r="K106" s="50">
        <f>SUM(K40,K43,K78,K94,K105)</f>
        <v>1990262906.8996</v>
      </c>
      <c r="L106" s="33"/>
      <c r="M106" s="51"/>
      <c r="N106" s="52"/>
      <c r="O106" s="72"/>
      <c r="P106" s="73"/>
      <c r="Q106" s="73"/>
      <c r="R106" s="73"/>
      <c r="S106" s="73"/>
      <c r="T106" s="73"/>
      <c r="U106" s="73"/>
      <c r="V106" s="74"/>
    </row>
    <row r="107" spans="1:22" ht="15.75">
      <c r="A107" s="53"/>
      <c r="B107" s="53"/>
      <c r="C107" s="53"/>
      <c r="D107" s="54"/>
      <c r="E107" s="53"/>
      <c r="F107" s="53"/>
      <c r="G107" s="53"/>
      <c r="H107" s="53"/>
      <c r="I107" s="53"/>
      <c r="J107" s="53"/>
      <c r="K107" s="53"/>
      <c r="L107" s="55"/>
      <c r="M107" s="75" t="s">
        <v>233</v>
      </c>
      <c r="N107" s="75"/>
      <c r="O107" s="75"/>
      <c r="P107" s="75"/>
      <c r="Q107" s="75"/>
      <c r="R107" s="75"/>
      <c r="S107" s="75"/>
      <c r="T107" s="75"/>
      <c r="U107" s="75"/>
      <c r="V107" s="75"/>
    </row>
    <row r="108" spans="1:22" ht="15">
      <c r="A108" s="82" t="s">
        <v>130</v>
      </c>
      <c r="B108" s="82"/>
      <c r="C108" s="82"/>
      <c r="D108" s="82"/>
      <c r="E108" s="82"/>
      <c r="F108" s="82"/>
      <c r="G108" s="82"/>
      <c r="H108" s="82"/>
      <c r="I108" s="56"/>
      <c r="J108" s="56" t="s">
        <v>122</v>
      </c>
      <c r="K108" s="56"/>
      <c r="L108" s="57"/>
      <c r="M108" s="56"/>
      <c r="N108" s="58" t="s">
        <v>123</v>
      </c>
      <c r="O108" s="56"/>
      <c r="P108" s="59"/>
      <c r="Q108" s="59"/>
      <c r="R108" s="59"/>
      <c r="S108" s="59"/>
      <c r="T108" s="59"/>
      <c r="U108" s="59"/>
      <c r="V108" s="59"/>
    </row>
    <row r="109" spans="1:22" ht="15.75">
      <c r="A109" s="55"/>
      <c r="B109" s="55"/>
      <c r="C109" s="55"/>
      <c r="D109" s="60"/>
      <c r="E109" s="55"/>
      <c r="F109" s="55"/>
      <c r="G109" s="55"/>
      <c r="H109" s="55"/>
      <c r="I109" s="61"/>
      <c r="J109" s="61" t="s">
        <v>124</v>
      </c>
      <c r="K109" s="61"/>
      <c r="L109" s="55"/>
      <c r="M109" s="55"/>
      <c r="N109" s="55"/>
      <c r="O109" s="62"/>
      <c r="P109" s="59"/>
      <c r="Q109" s="59"/>
      <c r="R109" s="59"/>
      <c r="S109" s="59"/>
      <c r="T109" s="59"/>
      <c r="U109" s="59"/>
      <c r="V109" s="59"/>
    </row>
    <row r="110" spans="1:22" ht="15">
      <c r="A110" s="63"/>
      <c r="B110" s="63" t="s">
        <v>125</v>
      </c>
      <c r="C110" s="63"/>
      <c r="D110" s="64"/>
      <c r="E110" s="63"/>
      <c r="F110" s="63"/>
      <c r="G110" s="63"/>
      <c r="H110" s="63"/>
      <c r="I110" s="63"/>
      <c r="J110" s="63"/>
      <c r="K110" s="63"/>
      <c r="L110" s="63"/>
      <c r="M110" s="63" t="s">
        <v>131</v>
      </c>
      <c r="N110" s="63"/>
      <c r="O110" s="65"/>
      <c r="P110" s="59"/>
      <c r="Q110" s="59"/>
      <c r="R110" s="59"/>
      <c r="S110" s="59"/>
      <c r="T110" s="59"/>
      <c r="U110" s="59"/>
      <c r="V110" s="59"/>
    </row>
    <row r="111" spans="1:22" ht="15">
      <c r="A111" s="63"/>
      <c r="B111" s="63" t="s">
        <v>126</v>
      </c>
      <c r="C111" s="63"/>
      <c r="D111" s="64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5"/>
      <c r="P111" s="59"/>
      <c r="Q111" s="59"/>
      <c r="R111" s="59"/>
      <c r="S111" s="59"/>
      <c r="T111" s="59"/>
      <c r="U111" s="59"/>
      <c r="V111" s="59"/>
    </row>
    <row r="112" spans="1:22" ht="15">
      <c r="A112" s="63"/>
      <c r="B112" s="63"/>
      <c r="C112" s="63"/>
      <c r="D112" s="64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5"/>
      <c r="P112" s="59"/>
      <c r="Q112" s="59"/>
      <c r="R112" s="59"/>
      <c r="S112" s="59"/>
      <c r="T112" s="59"/>
      <c r="U112" s="59"/>
      <c r="V112" s="59"/>
    </row>
    <row r="113" spans="1:22" ht="15">
      <c r="A113" s="63"/>
      <c r="B113" s="63"/>
      <c r="C113" s="63"/>
      <c r="D113" s="64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5"/>
      <c r="P113" s="59"/>
      <c r="Q113" s="59"/>
      <c r="R113" s="59"/>
      <c r="S113" s="59"/>
      <c r="T113" s="59"/>
      <c r="U113" s="59"/>
      <c r="V113" s="59"/>
    </row>
    <row r="114" spans="1:22" ht="15">
      <c r="A114" s="63"/>
      <c r="B114" s="63"/>
      <c r="C114" s="63"/>
      <c r="D114" s="64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5"/>
      <c r="P114" s="59"/>
      <c r="Q114" s="59"/>
      <c r="R114" s="59"/>
      <c r="S114" s="59"/>
      <c r="T114" s="59"/>
      <c r="U114" s="59"/>
      <c r="V114" s="59"/>
    </row>
    <row r="115" spans="1:22" ht="15">
      <c r="A115" s="63"/>
      <c r="B115" s="63"/>
      <c r="C115" s="63"/>
      <c r="D115" s="64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5"/>
      <c r="P115" s="59"/>
      <c r="Q115" s="59"/>
      <c r="R115" s="59"/>
      <c r="S115" s="59"/>
      <c r="T115" s="59"/>
      <c r="U115" s="59"/>
      <c r="V115" s="59"/>
    </row>
  </sheetData>
  <sheetProtection/>
  <mergeCells count="120">
    <mergeCell ref="O32:V32"/>
    <mergeCell ref="O33:V33"/>
    <mergeCell ref="O36:V36"/>
    <mergeCell ref="O27:V27"/>
    <mergeCell ref="O8:V8"/>
    <mergeCell ref="A9:V9"/>
    <mergeCell ref="M1:V1"/>
    <mergeCell ref="M2:V2"/>
    <mergeCell ref="M3:V3"/>
    <mergeCell ref="A5:V5"/>
    <mergeCell ref="A6:V6"/>
    <mergeCell ref="A7:V7"/>
    <mergeCell ref="O4:V4"/>
    <mergeCell ref="A10:V10"/>
    <mergeCell ref="A11:V11"/>
    <mergeCell ref="A12:V12"/>
    <mergeCell ref="A13:V13"/>
    <mergeCell ref="A14:V14"/>
    <mergeCell ref="A15:V15"/>
    <mergeCell ref="A17:A19"/>
    <mergeCell ref="B17:B19"/>
    <mergeCell ref="C17:C19"/>
    <mergeCell ref="D17:M17"/>
    <mergeCell ref="N17:N19"/>
    <mergeCell ref="O19:V19"/>
    <mergeCell ref="O17:V18"/>
    <mergeCell ref="K18:K19"/>
    <mergeCell ref="L18:M18"/>
    <mergeCell ref="E18:E19"/>
    <mergeCell ref="F18:G18"/>
    <mergeCell ref="H18:H19"/>
    <mergeCell ref="I18:J18"/>
    <mergeCell ref="D18:D19"/>
    <mergeCell ref="O16:V16"/>
    <mergeCell ref="O31:V31"/>
    <mergeCell ref="O37:V37"/>
    <mergeCell ref="O38:V38"/>
    <mergeCell ref="O39:V39"/>
    <mergeCell ref="O20:V20"/>
    <mergeCell ref="A21:V21"/>
    <mergeCell ref="O29:V29"/>
    <mergeCell ref="O26:V26"/>
    <mergeCell ref="O25:V25"/>
    <mergeCell ref="O23:V23"/>
    <mergeCell ref="O98:V98"/>
    <mergeCell ref="O101:V101"/>
    <mergeCell ref="O85:V85"/>
    <mergeCell ref="O86:V86"/>
    <mergeCell ref="O66:V66"/>
    <mergeCell ref="O48:V48"/>
    <mergeCell ref="O91:V91"/>
    <mergeCell ref="O61:V61"/>
    <mergeCell ref="O49:V49"/>
    <mergeCell ref="O64:V64"/>
    <mergeCell ref="O43:V43"/>
    <mergeCell ref="O57:V57"/>
    <mergeCell ref="O58:V58"/>
    <mergeCell ref="O22:V22"/>
    <mergeCell ref="O28:V28"/>
    <mergeCell ref="O68:V68"/>
    <mergeCell ref="A44:V44"/>
    <mergeCell ref="O40:V40"/>
    <mergeCell ref="A41:V41"/>
    <mergeCell ref="O42:V42"/>
    <mergeCell ref="O77:V77"/>
    <mergeCell ref="O47:V47"/>
    <mergeCell ref="O45:V45"/>
    <mergeCell ref="O50:V50"/>
    <mergeCell ref="O46:V46"/>
    <mergeCell ref="O69:V69"/>
    <mergeCell ref="O70:V70"/>
    <mergeCell ref="O75:V75"/>
    <mergeCell ref="O55:V55"/>
    <mergeCell ref="O72:V72"/>
    <mergeCell ref="O71:V71"/>
    <mergeCell ref="O73:V73"/>
    <mergeCell ref="O51:V51"/>
    <mergeCell ref="O52:V52"/>
    <mergeCell ref="O53:V53"/>
    <mergeCell ref="O65:V65"/>
    <mergeCell ref="O90:V90"/>
    <mergeCell ref="O92:V92"/>
    <mergeCell ref="O93:V93"/>
    <mergeCell ref="O104:V104"/>
    <mergeCell ref="O78:V78"/>
    <mergeCell ref="A79:V79"/>
    <mergeCell ref="O80:V80"/>
    <mergeCell ref="O81:V81"/>
    <mergeCell ref="O82:V82"/>
    <mergeCell ref="O97:V97"/>
    <mergeCell ref="O106:V106"/>
    <mergeCell ref="M107:V107"/>
    <mergeCell ref="O94:V94"/>
    <mergeCell ref="O102:V102"/>
    <mergeCell ref="O96:V96"/>
    <mergeCell ref="A108:H108"/>
    <mergeCell ref="O105:V105"/>
    <mergeCell ref="A106:J106"/>
    <mergeCell ref="O100:V100"/>
    <mergeCell ref="O103:V103"/>
    <mergeCell ref="O24:V24"/>
    <mergeCell ref="O67:V67"/>
    <mergeCell ref="O62:V62"/>
    <mergeCell ref="O63:V63"/>
    <mergeCell ref="O99:V99"/>
    <mergeCell ref="O54:V54"/>
    <mergeCell ref="O83:V83"/>
    <mergeCell ref="O84:V84"/>
    <mergeCell ref="A95:V95"/>
    <mergeCell ref="O35:V35"/>
    <mergeCell ref="O87:V87"/>
    <mergeCell ref="O30:V30"/>
    <mergeCell ref="O34:V34"/>
    <mergeCell ref="O89:V89"/>
    <mergeCell ref="O59:V59"/>
    <mergeCell ref="O76:V76"/>
    <mergeCell ref="O74:V74"/>
    <mergeCell ref="O56:V56"/>
    <mergeCell ref="O88:V88"/>
  </mergeCells>
  <printOptions/>
  <pageMargins left="0.11811023622047245" right="0.11811023622047245" top="0.15748031496062992" bottom="0.35433070866141736" header="0.31496062992125984" footer="0.31496062992125984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СГМУП ГТС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БушоваИП</dc:creator>
  <cp:keywords/>
  <dc:description/>
  <cp:lastModifiedBy>Анна В. Ашнина</cp:lastModifiedBy>
  <cp:lastPrinted>2013-12-27T09:07:31Z</cp:lastPrinted>
  <dcterms:created xsi:type="dcterms:W3CDTF">2013-01-04T08:07:52Z</dcterms:created>
  <dcterms:modified xsi:type="dcterms:W3CDTF">2014-12-02T05:44:51Z</dcterms:modified>
  <cp:category/>
  <cp:version/>
  <cp:contentType/>
  <cp:contentStatus/>
</cp:coreProperties>
</file>