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<sst xmlns="http://schemas.openxmlformats.org/spreadsheetml/2006/main" count="1553" uniqueCount="393">
  <si>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</si>
  <si>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</si>
  <si>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</si>
  <si>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</si>
  <si>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</si>
  <si>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</si>
  <si>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</si>
  <si>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</si>
  <si>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</si>
  <si>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</si>
  <si>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</si>
  <si>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</si>
  <si>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</si>
  <si>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</si>
  <si>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</si>
  <si>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</si>
  <si>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</si>
  <si>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</si>
  <si>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</si>
  <si>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</si>
  <si>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</si>
  <si>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</si>
  <si>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</si>
  <si>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</si>
  <si>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</si>
  <si>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</si>
  <si>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</si>
  <si>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</si>
  <si>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</si>
  <si>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</si>
  <si>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</si>
  <si>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</si>
  <si>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</si>
  <si>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</si>
  <si>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</si>
  <si>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</si>
  <si>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</si>
  <si>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</si>
  <si>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</si>
  <si>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</si>
  <si>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</si>
  <si>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</si>
  <si>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</si>
  <si>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</si>
  <si>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</si>
  <si>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</si>
  <si>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</si>
  <si>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</si>
  <si>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</si>
  <si>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</si>
  <si>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</si>
  <si>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</si>
  <si>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</si>
  <si>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</si>
  <si>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</si>
  <si>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</si>
  <si>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</si>
  <si>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</si>
  <si>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</si>
  <si>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</si>
  <si>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</si>
  <si>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</si>
  <si>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</si>
  <si>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</si>
  <si>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</si>
  <si>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</si>
  <si>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</si>
  <si>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</si>
  <si>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</si>
  <si>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</si>
  <si>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</si>
  <si>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</si>
  <si>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</si>
  <si>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</si>
  <si>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</si>
  <si>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</si>
  <si>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</si>
  <si>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</si>
  <si>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</si>
  <si>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</si>
  <si>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</si>
  <si>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</si>
  <si>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</si>
  <si>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</si>
  <si>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</si>
  <si>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</si>
  <si>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</si>
  <si>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</si>
  <si>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</si>
  <si>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</si>
  <si>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</si>
  <si>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</si>
  <si>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</si>
  <si>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</si>
  <si>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</si>
  <si>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</si>
  <si>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</si>
  <si>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</si>
  <si>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</si>
  <si>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</si>
  <si>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</si>
  <si>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</si>
  <si>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</si>
  <si>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</si>
  <si>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</si>
  <si>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</si>
  <si>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</si>
  <si>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</si>
  <si>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</si>
  <si>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</si>
  <si>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</si>
  <si>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</si>
  <si>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</si>
  <si>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</si>
  <si>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</si>
  <si>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</si>
  <si>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</si>
  <si>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</si>
  <si>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</si>
  <si>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</si>
  <si>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</si>
  <si>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</si>
  <si>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</si>
  <si>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</si>
  <si>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</si>
  <si>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</si>
  <si>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</si>
  <si>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</si>
  <si>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</si>
  <si>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</si>
  <si>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</si>
  <si>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</si>
  <si>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</si>
  <si>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</si>
  <si>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</si>
  <si>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</si>
  <si>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</si>
  <si>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</si>
  <si>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</si>
  <si>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</si>
  <si>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</si>
  <si>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</si>
  <si>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</si>
  <si>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</si>
  <si>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</si>
  <si>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</si>
  <si>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</si>
  <si>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</si>
  <si>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</si>
  <si>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</si>
  <si>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</si>
  <si>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</si>
  <si>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</si>
  <si>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</si>
  <si>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</si>
  <si>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</si>
  <si>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</si>
  <si>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</si>
  <si>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</si>
  <si>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</si>
  <si>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</si>
  <si>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</si>
  <si>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</si>
  <si>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</si>
  <si>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</si>
  <si>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</si>
  <si>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</si>
  <si>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</si>
  <si>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</si>
  <si>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</si>
  <si>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</si>
  <si>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</si>
  <si>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</si>
  <si>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</si>
  <si>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</si>
  <si>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</si>
  <si>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</si>
  <si>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</si>
  <si>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</si>
  <si>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</si>
  <si>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</si>
  <si>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</si>
  <si>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</si>
  <si>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</si>
  <si>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</si>
  <si>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</si>
  <si>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</si>
  <si>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</si>
  <si>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</si>
  <si>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</si>
  <si>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</si>
  <si>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</si>
  <si>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</si>
  <si>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</si>
  <si>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</si>
  <si>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</si>
  <si>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</si>
  <si>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</si>
  <si>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</si>
  <si>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</si>
  <si>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</si>
  <si>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</si>
  <si>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</si>
  <si>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</si>
  <si>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</si>
  <si>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</si>
  <si>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</si>
  <si>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</si>
  <si>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</si>
  <si>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</si>
  <si>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</si>
  <si>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</si>
  <si>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</si>
  <si>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</si>
  <si>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</si>
  <si>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</si>
  <si>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</si>
  <si>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</si>
  <si>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</si>
  <si>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</si>
  <si>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</si>
  <si>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</si>
  <si>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</si>
  <si>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</si>
  <si>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</si>
  <si>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</si>
  <si>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</si>
  <si>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</si>
  <si>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</si>
  <si>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</si>
  <si>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</si>
  <si>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</si>
  <si>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</si>
  <si>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</si>
  <si>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</si>
  <si>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</si>
  <si>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</si>
  <si>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</si>
  <si>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</si>
  <si>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</si>
  <si>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</si>
  <si>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</si>
  <si>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</si>
  <si>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</si>
  <si>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</si>
  <si>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</si>
  <si>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</si>
  <si>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</si>
  <si>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</si>
  <si>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</si>
  <si>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</si>
  <si>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</si>
  <si>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</si>
  <si>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</si>
  <si>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</si>
  <si>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</si>
  <si>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</si>
  <si>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</si>
  <si>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</si>
  <si>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</si>
  <si>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</si>
  <si>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</si>
  <si>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</si>
  <si>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</si>
  <si>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</si>
  <si>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</si>
  <si>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</si>
  <si>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</si>
  <si>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</si>
  <si>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</si>
  <si>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</si>
  <si>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</si>
  <si>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</si>
  <si>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</si>
  <si>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</si>
  <si>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</si>
  <si>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</si>
  <si>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</si>
  <si>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</si>
  <si>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</si>
  <si>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</si>
  <si>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</si>
  <si>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</si>
  <si>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</si>
  <si>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</si>
  <si>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</si>
  <si>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</si>
  <si>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</si>
  <si>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</si>
  <si>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</si>
  <si>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</si>
  <si>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</si>
  <si>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</si>
  <si>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</si>
  <si>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</si>
  <si>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</si>
  <si>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</si>
  <si>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</si>
  <si>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</si>
  <si>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</si>
  <si>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</si>
  <si>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</si>
  <si>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</si>
  <si>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</si>
  <si>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</si>
  <si>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</si>
  <si>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</si>
  <si>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</si>
  <si>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</si>
  <si>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</si>
  <si>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</si>
  <si>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</si>
  <si>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</si>
  <si>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</si>
  <si>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</si>
  <si>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</si>
  <si>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</si>
  <si>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</si>
  <si>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</si>
  <si>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</si>
  <si>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</si>
  <si>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</si>
  <si>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</si>
  <si>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</si>
  <si>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</si>
  <si>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</si>
  <si>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</si>
  <si>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</si>
  <si>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</si>
  <si>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</si>
  <si>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</si>
  <si>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</si>
  <si>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</si>
  <si>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</si>
  <si>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</si>
  <si>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</si>
  <si>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</si>
  <si>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</si>
  <si>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</si>
  <si>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</si>
  <si>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</si>
  <si>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</si>
  <si>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</si>
  <si>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</si>
  <si>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</si>
  <si>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</si>
  <si>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</si>
  <si>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</si>
  <si>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</si>
  <si>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</si>
  <si>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</si>
  <si>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</si>
  <si>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</si>
  <si>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</si>
  <si>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</si>
  <si>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</si>
  <si>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</si>
  <si>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</si>
  <si>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</si>
  <si>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</si>
  <si>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</si>
  <si>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</si>
  <si>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</si>
  <si>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</si>
  <si>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</si>
  <si>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</si>
  <si>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</si>
  <si>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</si>
  <si>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</si>
  <si>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</si>
  <si>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</si>
  <si>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</si>
  <si>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</si>
  <si>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</si>
  <si>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</si>
  <si>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</si>
  <si>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</si>
  <si>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ЭПБ проектной (рабочей) документации по объектам технического перевооружения магистральных тепловых сетей.</t>
  </si>
  <si>
    <t>51</t>
  </si>
  <si>
    <t>сентябрь 2014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</si>
  <si>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</si>
  <si>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</si>
  <si>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</si>
  <si>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сентябрь-октябрь 2014</t>
  </si>
  <si>
    <t>конкурс в рамках 44-фз</t>
  </si>
  <si>
    <t>107</t>
  </si>
  <si>
    <t>108</t>
  </si>
  <si>
    <t>Обучение сотрудников по специальности "Слесарь по обслуживанию и ремонту подземных газопроводов"</t>
  </si>
  <si>
    <t>август-сентябрь 2014 г</t>
  </si>
  <si>
    <t>Экспертиза экономической обоснованности расчета тарифов, предоставленных в регулирующий орган на 2015 год.</t>
  </si>
  <si>
    <t>«05» сентября 2014 г.</t>
  </si>
  <si>
    <t>(9 редакция)</t>
  </si>
  <si>
    <t>сентябрь-декабрь 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</si>
</sst>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49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39" fillId="33" borderId="10" xfId="0" applyNumberFormat="1" applyFont="1" applyFill="1" applyBorder="1" applyAlignment="1">
      <alignment vertical="center"/>
    </xf>
    <xf numFmtId="164" fontId="49" fillId="33" borderId="10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43" fontId="51" fillId="33" borderId="12" xfId="6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3" fontId="49" fillId="33" borderId="14" xfId="60" applyFont="1" applyFill="1" applyBorder="1" applyAlignment="1">
      <alignment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right" vertical="center" wrapText="1"/>
    </xf>
    <xf numFmtId="43" fontId="49" fillId="33" borderId="15" xfId="60" applyFont="1" applyFill="1" applyBorder="1" applyAlignment="1">
      <alignment vertical="center" wrapText="1"/>
    </xf>
    <xf numFmtId="43" fontId="51" fillId="33" borderId="10" xfId="6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 wrapText="1"/>
    </xf>
    <xf numFmtId="49" fontId="52" fillId="33" borderId="17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wrapText="1" shrinkToFit="1"/>
    </xf>
    <xf numFmtId="49" fontId="52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2" fillId="33" borderId="0" xfId="0" applyNumberFormat="1" applyFont="1" applyFill="1" applyAlignment="1">
      <alignment wrapText="1" shrinkToFit="1"/>
    </xf>
    <xf numFmtId="49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Alignment="1">
      <alignment horizontal="center"/>
    </xf>
    <xf numFmtId="49" fontId="49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horizontal="justify" vertical="center"/>
    </xf>
    <xf numFmtId="49" fontId="49" fillId="33" borderId="15" xfId="0" applyNumberFormat="1" applyFont="1" applyFill="1" applyBorder="1" applyAlignment="1">
      <alignment horizontal="center" vertical="center" textRotation="90" wrapText="1"/>
    </xf>
    <xf numFmtId="49" fontId="49" fillId="33" borderId="15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wrapText="1" shrinkToFit="1"/>
    </xf>
    <xf numFmtId="49" fontId="55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9" fillId="33" borderId="22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51" fillId="33" borderId="24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49" fontId="51" fillId="33" borderId="2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9" fillId="33" borderId="29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1" fillId="33" borderId="31" xfId="0" applyNumberFormat="1" applyFont="1" applyFill="1" applyBorder="1" applyAlignment="1">
      <alignment horizontal="left" vertical="center"/>
    </xf>
    <xf numFmtId="49" fontId="51" fillId="33" borderId="32" xfId="0" applyNumberFormat="1" applyFont="1" applyFill="1" applyBorder="1" applyAlignment="1">
      <alignment horizontal="left" vertical="center"/>
    </xf>
    <xf numFmtId="49" fontId="51" fillId="33" borderId="33" xfId="0" applyNumberFormat="1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49" fontId="52" fillId="33" borderId="26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51" fillId="33" borderId="34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3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49" fontId="53" fillId="33" borderId="21" xfId="0" applyNumberFormat="1" applyFont="1" applyFill="1" applyBorder="1" applyAlignment="1">
      <alignment horizontal="left" vertical="center"/>
    </xf>
    <xf numFmtId="49" fontId="53" fillId="33" borderId="28" xfId="0" applyNumberFormat="1" applyFont="1" applyFill="1" applyBorder="1" applyAlignment="1">
      <alignment horizontal="left" vertical="center"/>
    </xf>
    <xf numFmtId="49" fontId="49" fillId="33" borderId="22" xfId="0" applyNumberFormat="1" applyFont="1" applyFill="1" applyBorder="1" applyAlignment="1">
      <alignment horizontal="center" vertical="center" textRotation="90" wrapText="1"/>
    </xf>
    <xf numFmtId="49" fontId="49" fillId="33" borderId="13" xfId="0" applyNumberFormat="1" applyFont="1" applyFill="1" applyBorder="1" applyAlignment="1">
      <alignment horizontal="center" vertical="center" textRotation="90" wrapText="1"/>
    </xf>
    <xf numFmtId="49" fontId="49" fillId="33" borderId="12" xfId="0" applyNumberFormat="1" applyFont="1" applyFill="1" applyBorder="1" applyAlignment="1">
      <alignment horizontal="center" vertical="center" textRotation="90" wrapText="1"/>
    </xf>
    <xf numFmtId="49" fontId="49" fillId="33" borderId="2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25" xfId="0" applyNumberFormat="1" applyFont="1" applyFill="1" applyBorder="1" applyAlignment="1">
      <alignment horizontal="center" vertical="center" wrapText="1"/>
    </xf>
    <xf numFmtId="49" fontId="49" fillId="33" borderId="26" xfId="0" applyNumberFormat="1" applyFont="1" applyFill="1" applyBorder="1" applyAlignment="1">
      <alignment horizontal="center" vertical="center" wrapText="1"/>
    </xf>
    <xf numFmtId="49" fontId="49" fillId="33" borderId="2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"/>
  <sheetViews>
    <sheetView tabSelected="1" zoomScalePageLayoutView="0" workbookViewId="0" topLeftCell="A55">
      <selection activeCell="BP61" sqref="BP61"/>
    </sheetView>
  </sheetViews>
  <sheetFormatPr defaultColWidth="0.85546875" defaultRowHeight="15"/>
  <cols>
    <col min="1" max="1" width="6.140625" style="39" customWidth="1"/>
    <col min="2" max="2" width="8.00390625" style="39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33" t="s">
        <v>0</v>
      </c>
      <c r="N1" s="133"/>
      <c r="O1" s="133"/>
      <c r="P1" s="133"/>
      <c r="Q1" s="133"/>
      <c r="R1" s="133"/>
      <c r="S1" s="133"/>
      <c r="T1" s="133"/>
      <c r="U1" s="133"/>
      <c r="V1" s="133"/>
    </row>
    <row r="2" spans="13:22" ht="15">
      <c r="M2" s="133" t="s">
        <v>1</v>
      </c>
      <c r="N2" s="133"/>
      <c r="O2" s="133"/>
      <c r="P2" s="133"/>
      <c r="Q2" s="133"/>
      <c r="R2" s="133"/>
      <c r="S2" s="133"/>
      <c r="T2" s="133"/>
      <c r="U2" s="133"/>
      <c r="V2" s="133"/>
    </row>
    <row r="3" spans="13:22" ht="15">
      <c r="M3" s="133" t="s">
        <v>2</v>
      </c>
      <c r="N3" s="133"/>
      <c r="O3" s="133"/>
      <c r="P3" s="133"/>
      <c r="Q3" s="133"/>
      <c r="R3" s="133"/>
      <c r="S3" s="133"/>
      <c r="T3" s="133"/>
      <c r="U3" s="133"/>
      <c r="V3" s="133"/>
    </row>
    <row r="4" spans="13:22" ht="15">
      <c r="M4" s="55"/>
      <c r="N4" s="56" t="s">
        <v>391</v>
      </c>
      <c r="O4" s="137"/>
      <c r="P4" s="137"/>
      <c r="Q4" s="137"/>
      <c r="R4" s="137"/>
      <c r="S4" s="137"/>
      <c r="T4" s="137"/>
      <c r="U4" s="137"/>
      <c r="V4" s="137"/>
    </row>
    <row r="5" spans="1:22" s="2" customFormat="1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2" customFormat="1" ht="15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s="2" customFormat="1" ht="15">
      <c r="A7" s="136" t="s">
        <v>226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s="2" customFormat="1" ht="1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138"/>
      <c r="P8" s="138"/>
      <c r="Q8" s="138"/>
      <c r="R8" s="138"/>
      <c r="S8" s="138"/>
      <c r="T8" s="138"/>
      <c r="U8" s="138"/>
      <c r="V8" s="138"/>
    </row>
    <row r="9" spans="1:22" s="2" customFormat="1" ht="15">
      <c r="A9" s="118" t="s">
        <v>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</row>
    <row r="10" spans="1:22" s="2" customFormat="1" ht="15">
      <c r="A10" s="118" t="s">
        <v>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</row>
    <row r="11" spans="1:22" s="2" customFormat="1" ht="15">
      <c r="A11" s="118" t="s">
        <v>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</row>
    <row r="12" spans="1:22" s="2" customFormat="1" ht="15">
      <c r="A12" s="118" t="s">
        <v>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2" customFormat="1" ht="15">
      <c r="A13" s="118" t="s">
        <v>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</row>
    <row r="14" spans="1:22" s="2" customFormat="1" ht="15">
      <c r="A14" s="118" t="s">
        <v>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22" s="2" customFormat="1" ht="15">
      <c r="A15" s="118" t="s">
        <v>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2" customFormat="1" ht="1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25"/>
      <c r="P16" s="125"/>
      <c r="Q16" s="125"/>
      <c r="R16" s="125"/>
      <c r="S16" s="125"/>
      <c r="T16" s="125"/>
      <c r="U16" s="125"/>
      <c r="V16" s="125"/>
    </row>
    <row r="17" spans="1:22" ht="15" customHeight="1">
      <c r="A17" s="120" t="s">
        <v>11</v>
      </c>
      <c r="B17" s="120" t="s">
        <v>12</v>
      </c>
      <c r="C17" s="120" t="s">
        <v>13</v>
      </c>
      <c r="D17" s="113" t="s">
        <v>14</v>
      </c>
      <c r="E17" s="139"/>
      <c r="F17" s="139"/>
      <c r="G17" s="139"/>
      <c r="H17" s="139"/>
      <c r="I17" s="139"/>
      <c r="J17" s="139"/>
      <c r="K17" s="139"/>
      <c r="L17" s="139"/>
      <c r="M17" s="114"/>
      <c r="N17" s="126" t="s">
        <v>15</v>
      </c>
      <c r="O17" s="128" t="s">
        <v>16</v>
      </c>
      <c r="P17" s="129"/>
      <c r="Q17" s="129"/>
      <c r="R17" s="129"/>
      <c r="S17" s="129"/>
      <c r="T17" s="129"/>
      <c r="U17" s="129"/>
      <c r="V17" s="130"/>
    </row>
    <row r="18" spans="1:22" ht="71.25" customHeight="1">
      <c r="A18" s="121"/>
      <c r="B18" s="121"/>
      <c r="C18" s="121"/>
      <c r="D18" s="123" t="s">
        <v>17</v>
      </c>
      <c r="E18" s="126" t="s">
        <v>18</v>
      </c>
      <c r="F18" s="113" t="s">
        <v>19</v>
      </c>
      <c r="G18" s="114"/>
      <c r="H18" s="126" t="s">
        <v>20</v>
      </c>
      <c r="I18" s="113" t="s">
        <v>21</v>
      </c>
      <c r="J18" s="114"/>
      <c r="K18" s="126" t="s">
        <v>22</v>
      </c>
      <c r="L18" s="113" t="s">
        <v>23</v>
      </c>
      <c r="M18" s="114"/>
      <c r="N18" s="140"/>
      <c r="O18" s="92"/>
      <c r="P18" s="131"/>
      <c r="Q18" s="131"/>
      <c r="R18" s="131"/>
      <c r="S18" s="131"/>
      <c r="T18" s="131"/>
      <c r="U18" s="131"/>
      <c r="V18" s="132"/>
    </row>
    <row r="19" spans="1:22" ht="72">
      <c r="A19" s="122"/>
      <c r="B19" s="122"/>
      <c r="C19" s="122"/>
      <c r="D19" s="124"/>
      <c r="E19" s="127"/>
      <c r="F19" s="57" t="s">
        <v>24</v>
      </c>
      <c r="G19" s="57" t="s">
        <v>25</v>
      </c>
      <c r="H19" s="127"/>
      <c r="I19" s="57" t="s">
        <v>26</v>
      </c>
      <c r="J19" s="57" t="s">
        <v>25</v>
      </c>
      <c r="K19" s="127"/>
      <c r="L19" s="19" t="s">
        <v>27</v>
      </c>
      <c r="M19" s="19" t="s">
        <v>28</v>
      </c>
      <c r="N19" s="127"/>
      <c r="O19" s="113" t="s">
        <v>29</v>
      </c>
      <c r="P19" s="139"/>
      <c r="Q19" s="139"/>
      <c r="R19" s="139"/>
      <c r="S19" s="139"/>
      <c r="T19" s="139"/>
      <c r="U19" s="139"/>
      <c r="V19" s="114"/>
    </row>
    <row r="20" spans="1:22" ht="15">
      <c r="A20" s="58" t="s">
        <v>30</v>
      </c>
      <c r="B20" s="58" t="s">
        <v>31</v>
      </c>
      <c r="C20" s="58" t="s">
        <v>32</v>
      </c>
      <c r="D20" s="59">
        <v>4</v>
      </c>
      <c r="E20" s="58">
        <v>5</v>
      </c>
      <c r="F20" s="58">
        <v>6</v>
      </c>
      <c r="G20" s="58">
        <v>7</v>
      </c>
      <c r="H20" s="58">
        <v>8</v>
      </c>
      <c r="I20" s="58">
        <v>9</v>
      </c>
      <c r="J20" s="58">
        <v>10</v>
      </c>
      <c r="K20" s="58">
        <v>11</v>
      </c>
      <c r="L20" s="58">
        <v>12</v>
      </c>
      <c r="M20" s="58">
        <v>13</v>
      </c>
      <c r="N20" s="58">
        <v>14</v>
      </c>
      <c r="O20" s="95">
        <v>15</v>
      </c>
      <c r="P20" s="96"/>
      <c r="Q20" s="96"/>
      <c r="R20" s="96"/>
      <c r="S20" s="96"/>
      <c r="T20" s="96"/>
      <c r="U20" s="96"/>
      <c r="V20" s="97"/>
    </row>
    <row r="21" spans="1:22" ht="15">
      <c r="A21" s="115" t="s">
        <v>33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7"/>
    </row>
    <row r="22" spans="1:22" s="46" customFormat="1" ht="72">
      <c r="A22" s="47" t="s">
        <v>30</v>
      </c>
      <c r="B22" s="3" t="s">
        <v>34</v>
      </c>
      <c r="C22" s="47" t="s">
        <v>45</v>
      </c>
      <c r="D22" s="60" t="s">
        <v>147</v>
      </c>
      <c r="E22" s="61" t="s">
        <v>35</v>
      </c>
      <c r="F22" s="47" t="s">
        <v>36</v>
      </c>
      <c r="G22" s="3" t="s">
        <v>37</v>
      </c>
      <c r="H22" s="3" t="s">
        <v>42</v>
      </c>
      <c r="I22" s="47" t="s">
        <v>38</v>
      </c>
      <c r="J22" s="3" t="s">
        <v>39</v>
      </c>
      <c r="K22" s="5">
        <f>1012000*1.18</f>
        <v>1194160</v>
      </c>
      <c r="L22" s="47" t="s">
        <v>235</v>
      </c>
      <c r="M22" s="47" t="s">
        <v>239</v>
      </c>
      <c r="N22" s="3" t="s">
        <v>43</v>
      </c>
      <c r="O22" s="81" t="s">
        <v>41</v>
      </c>
      <c r="P22" s="107"/>
      <c r="Q22" s="107"/>
      <c r="R22" s="107"/>
      <c r="S22" s="107"/>
      <c r="T22" s="107"/>
      <c r="U22" s="107"/>
      <c r="V22" s="108"/>
    </row>
    <row r="23" spans="1:22" s="46" customFormat="1" ht="72">
      <c r="A23" s="47" t="s">
        <v>31</v>
      </c>
      <c r="B23" s="3" t="s">
        <v>34</v>
      </c>
      <c r="C23" s="47" t="s">
        <v>45</v>
      </c>
      <c r="D23" s="60" t="s">
        <v>152</v>
      </c>
      <c r="E23" s="61" t="s">
        <v>35</v>
      </c>
      <c r="F23" s="47" t="s">
        <v>36</v>
      </c>
      <c r="G23" s="3" t="s">
        <v>37</v>
      </c>
      <c r="H23" s="3" t="s">
        <v>42</v>
      </c>
      <c r="I23" s="47" t="s">
        <v>38</v>
      </c>
      <c r="J23" s="3" t="s">
        <v>39</v>
      </c>
      <c r="K23" s="5">
        <f>560000*1.18</f>
        <v>660800</v>
      </c>
      <c r="L23" s="47" t="s">
        <v>235</v>
      </c>
      <c r="M23" s="47" t="s">
        <v>239</v>
      </c>
      <c r="N23" s="3" t="s">
        <v>49</v>
      </c>
      <c r="O23" s="81" t="s">
        <v>41</v>
      </c>
      <c r="P23" s="107"/>
      <c r="Q23" s="107"/>
      <c r="R23" s="107"/>
      <c r="S23" s="107"/>
      <c r="T23" s="107"/>
      <c r="U23" s="107"/>
      <c r="V23" s="108"/>
    </row>
    <row r="24" spans="1:22" s="46" customFormat="1" ht="72">
      <c r="A24" s="72" t="s">
        <v>32</v>
      </c>
      <c r="B24" s="3" t="s">
        <v>34</v>
      </c>
      <c r="C24" s="47" t="s">
        <v>45</v>
      </c>
      <c r="D24" s="60" t="s">
        <v>157</v>
      </c>
      <c r="E24" s="61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5">
        <f>400000*1.18</f>
        <v>472000</v>
      </c>
      <c r="L24" s="47" t="s">
        <v>235</v>
      </c>
      <c r="M24" s="47" t="s">
        <v>239</v>
      </c>
      <c r="N24" s="3" t="s">
        <v>49</v>
      </c>
      <c r="O24" s="81" t="s">
        <v>41</v>
      </c>
      <c r="P24" s="107"/>
      <c r="Q24" s="107"/>
      <c r="R24" s="107"/>
      <c r="S24" s="107"/>
      <c r="T24" s="107"/>
      <c r="U24" s="107"/>
      <c r="V24" s="108"/>
    </row>
    <row r="25" spans="1:22" s="46" customFormat="1" ht="72">
      <c r="A25" s="72" t="s">
        <v>44</v>
      </c>
      <c r="B25" s="3" t="s">
        <v>34</v>
      </c>
      <c r="C25" s="47" t="s">
        <v>45</v>
      </c>
      <c r="D25" s="60" t="s">
        <v>154</v>
      </c>
      <c r="E25" s="61" t="s">
        <v>35</v>
      </c>
      <c r="F25" s="47" t="s">
        <v>36</v>
      </c>
      <c r="G25" s="3" t="s">
        <v>37</v>
      </c>
      <c r="H25" s="3" t="s">
        <v>32</v>
      </c>
      <c r="I25" s="47" t="s">
        <v>38</v>
      </c>
      <c r="J25" s="3" t="s">
        <v>39</v>
      </c>
      <c r="K25" s="5">
        <f>420000*1.18</f>
        <v>495600</v>
      </c>
      <c r="L25" s="47" t="s">
        <v>235</v>
      </c>
      <c r="M25" s="47" t="s">
        <v>239</v>
      </c>
      <c r="N25" s="3" t="s">
        <v>49</v>
      </c>
      <c r="O25" s="81" t="s">
        <v>41</v>
      </c>
      <c r="P25" s="107"/>
      <c r="Q25" s="107"/>
      <c r="R25" s="107"/>
      <c r="S25" s="107"/>
      <c r="T25" s="107"/>
      <c r="U25" s="107"/>
      <c r="V25" s="108"/>
    </row>
    <row r="26" spans="1:22" s="46" customFormat="1" ht="72">
      <c r="A26" s="72" t="s">
        <v>196</v>
      </c>
      <c r="B26" s="3" t="s">
        <v>34</v>
      </c>
      <c r="C26" s="47" t="s">
        <v>45</v>
      </c>
      <c r="D26" s="60" t="s">
        <v>153</v>
      </c>
      <c r="E26" s="61" t="s">
        <v>35</v>
      </c>
      <c r="F26" s="47" t="s">
        <v>36</v>
      </c>
      <c r="G26" s="3" t="s">
        <v>37</v>
      </c>
      <c r="H26" s="3" t="s">
        <v>30</v>
      </c>
      <c r="I26" s="47" t="s">
        <v>38</v>
      </c>
      <c r="J26" s="3" t="s">
        <v>39</v>
      </c>
      <c r="K26" s="5">
        <f>300000*1.18</f>
        <v>354000</v>
      </c>
      <c r="L26" s="47" t="s">
        <v>235</v>
      </c>
      <c r="M26" s="47" t="s">
        <v>239</v>
      </c>
      <c r="N26" s="3" t="s">
        <v>49</v>
      </c>
      <c r="O26" s="81" t="s">
        <v>41</v>
      </c>
      <c r="P26" s="107"/>
      <c r="Q26" s="107"/>
      <c r="R26" s="107"/>
      <c r="S26" s="107"/>
      <c r="T26" s="107"/>
      <c r="U26" s="107"/>
      <c r="V26" s="108"/>
    </row>
    <row r="27" spans="1:22" s="46" customFormat="1" ht="72">
      <c r="A27" s="72" t="s">
        <v>46</v>
      </c>
      <c r="B27" s="3" t="s">
        <v>123</v>
      </c>
      <c r="C27" s="3" t="s">
        <v>227</v>
      </c>
      <c r="D27" s="60" t="s">
        <v>228</v>
      </c>
      <c r="E27" s="61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5">
        <f>1821047.45*1.18</f>
        <v>2148835.991</v>
      </c>
      <c r="L27" s="47" t="s">
        <v>235</v>
      </c>
      <c r="M27" s="47" t="s">
        <v>239</v>
      </c>
      <c r="N27" s="3" t="s">
        <v>43</v>
      </c>
      <c r="O27" s="81" t="s">
        <v>41</v>
      </c>
      <c r="P27" s="107"/>
      <c r="Q27" s="107"/>
      <c r="R27" s="107"/>
      <c r="S27" s="107"/>
      <c r="T27" s="107"/>
      <c r="U27" s="107"/>
      <c r="V27" s="108"/>
    </row>
    <row r="28" spans="1:22" s="46" customFormat="1" ht="72">
      <c r="A28" s="72" t="s">
        <v>47</v>
      </c>
      <c r="B28" s="3" t="s">
        <v>34</v>
      </c>
      <c r="C28" s="47" t="s">
        <v>50</v>
      </c>
      <c r="D28" s="60" t="s">
        <v>182</v>
      </c>
      <c r="E28" s="61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5">
        <f>7041000*1.18</f>
        <v>8308380</v>
      </c>
      <c r="L28" s="47" t="s">
        <v>235</v>
      </c>
      <c r="M28" s="47" t="s">
        <v>239</v>
      </c>
      <c r="N28" s="3" t="s">
        <v>43</v>
      </c>
      <c r="O28" s="84" t="s">
        <v>41</v>
      </c>
      <c r="P28" s="84"/>
      <c r="Q28" s="84"/>
      <c r="R28" s="84"/>
      <c r="S28" s="84"/>
      <c r="T28" s="84"/>
      <c r="U28" s="84"/>
      <c r="V28" s="84"/>
    </row>
    <row r="29" spans="1:22" s="46" customFormat="1" ht="72">
      <c r="A29" s="72" t="s">
        <v>48</v>
      </c>
      <c r="B29" s="3" t="s">
        <v>34</v>
      </c>
      <c r="C29" s="47" t="s">
        <v>45</v>
      </c>
      <c r="D29" s="4" t="s">
        <v>335</v>
      </c>
      <c r="E29" s="61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5">
        <f>1780000*1.18</f>
        <v>2100400</v>
      </c>
      <c r="L29" s="47" t="s">
        <v>235</v>
      </c>
      <c r="M29" s="47" t="s">
        <v>239</v>
      </c>
      <c r="N29" s="3" t="s">
        <v>43</v>
      </c>
      <c r="O29" s="84" t="s">
        <v>41</v>
      </c>
      <c r="P29" s="84"/>
      <c r="Q29" s="84"/>
      <c r="R29" s="84"/>
      <c r="S29" s="84"/>
      <c r="T29" s="84"/>
      <c r="U29" s="84"/>
      <c r="V29" s="84"/>
    </row>
    <row r="30" spans="1:22" s="46" customFormat="1" ht="72">
      <c r="A30" s="72" t="s">
        <v>197</v>
      </c>
      <c r="B30" s="3" t="s">
        <v>34</v>
      </c>
      <c r="C30" s="47" t="s">
        <v>267</v>
      </c>
      <c r="D30" s="4" t="s">
        <v>340</v>
      </c>
      <c r="E30" s="61" t="s">
        <v>35</v>
      </c>
      <c r="F30" s="47" t="s">
        <v>338</v>
      </c>
      <c r="G30" s="3" t="s">
        <v>339</v>
      </c>
      <c r="H30" s="3" t="s">
        <v>42</v>
      </c>
      <c r="I30" s="47" t="s">
        <v>38</v>
      </c>
      <c r="J30" s="3" t="s">
        <v>39</v>
      </c>
      <c r="K30" s="5">
        <v>145354</v>
      </c>
      <c r="L30" s="47" t="s">
        <v>235</v>
      </c>
      <c r="M30" s="47" t="s">
        <v>239</v>
      </c>
      <c r="N30" s="3" t="s">
        <v>49</v>
      </c>
      <c r="O30" s="81" t="s">
        <v>41</v>
      </c>
      <c r="P30" s="107"/>
      <c r="Q30" s="107"/>
      <c r="R30" s="107"/>
      <c r="S30" s="107"/>
      <c r="T30" s="107"/>
      <c r="U30" s="107"/>
      <c r="V30" s="108"/>
    </row>
    <row r="31" spans="1:22" s="46" customFormat="1" ht="72">
      <c r="A31" s="72" t="s">
        <v>198</v>
      </c>
      <c r="B31" s="3" t="s">
        <v>34</v>
      </c>
      <c r="C31" s="3" t="s">
        <v>171</v>
      </c>
      <c r="D31" s="60" t="s">
        <v>172</v>
      </c>
      <c r="E31" s="61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5">
        <f>74850000*1.18</f>
        <v>88323000</v>
      </c>
      <c r="L31" s="47" t="s">
        <v>239</v>
      </c>
      <c r="M31" s="47" t="s">
        <v>237</v>
      </c>
      <c r="N31" s="3" t="s">
        <v>43</v>
      </c>
      <c r="O31" s="81" t="s">
        <v>41</v>
      </c>
      <c r="P31" s="107"/>
      <c r="Q31" s="107"/>
      <c r="R31" s="107"/>
      <c r="S31" s="107"/>
      <c r="T31" s="107"/>
      <c r="U31" s="107"/>
      <c r="V31" s="108"/>
    </row>
    <row r="32" spans="1:22" s="46" customFormat="1" ht="72">
      <c r="A32" s="72" t="s">
        <v>199</v>
      </c>
      <c r="B32" s="3" t="s">
        <v>34</v>
      </c>
      <c r="C32" s="47" t="s">
        <v>45</v>
      </c>
      <c r="D32" s="60" t="s">
        <v>149</v>
      </c>
      <c r="E32" s="61" t="s">
        <v>35</v>
      </c>
      <c r="F32" s="47" t="s">
        <v>36</v>
      </c>
      <c r="G32" s="3" t="s">
        <v>37</v>
      </c>
      <c r="H32" s="47" t="s">
        <v>31</v>
      </c>
      <c r="I32" s="47" t="s">
        <v>38</v>
      </c>
      <c r="J32" s="3" t="s">
        <v>39</v>
      </c>
      <c r="K32" s="5">
        <f>161600*1.18</f>
        <v>190688</v>
      </c>
      <c r="L32" s="47" t="s">
        <v>239</v>
      </c>
      <c r="M32" s="47" t="s">
        <v>239</v>
      </c>
      <c r="N32" s="3" t="s">
        <v>49</v>
      </c>
      <c r="O32" s="81" t="s">
        <v>41</v>
      </c>
      <c r="P32" s="107"/>
      <c r="Q32" s="107"/>
      <c r="R32" s="107"/>
      <c r="S32" s="107"/>
      <c r="T32" s="107"/>
      <c r="U32" s="107"/>
      <c r="V32" s="108"/>
    </row>
    <row r="33" spans="1:22" s="46" customFormat="1" ht="72">
      <c r="A33" s="72" t="s">
        <v>200</v>
      </c>
      <c r="B33" s="3" t="s">
        <v>34</v>
      </c>
      <c r="C33" s="47" t="s">
        <v>45</v>
      </c>
      <c r="D33" s="60" t="s">
        <v>150</v>
      </c>
      <c r="E33" s="61" t="s">
        <v>35</v>
      </c>
      <c r="F33" s="47" t="s">
        <v>36</v>
      </c>
      <c r="G33" s="3" t="s">
        <v>37</v>
      </c>
      <c r="H33" s="3" t="s">
        <v>32</v>
      </c>
      <c r="I33" s="47" t="s">
        <v>38</v>
      </c>
      <c r="J33" s="3" t="s">
        <v>39</v>
      </c>
      <c r="K33" s="5">
        <f>168000*1.18</f>
        <v>198240</v>
      </c>
      <c r="L33" s="47" t="s">
        <v>239</v>
      </c>
      <c r="M33" s="47" t="s">
        <v>239</v>
      </c>
      <c r="N33" s="3" t="s">
        <v>49</v>
      </c>
      <c r="O33" s="84" t="s">
        <v>41</v>
      </c>
      <c r="P33" s="84"/>
      <c r="Q33" s="84"/>
      <c r="R33" s="84"/>
      <c r="S33" s="84"/>
      <c r="T33" s="84"/>
      <c r="U33" s="84"/>
      <c r="V33" s="84"/>
    </row>
    <row r="34" spans="1:22" s="46" customFormat="1" ht="72">
      <c r="A34" s="72" t="s">
        <v>183</v>
      </c>
      <c r="B34" s="3" t="s">
        <v>34</v>
      </c>
      <c r="C34" s="47" t="s">
        <v>45</v>
      </c>
      <c r="D34" s="4" t="s">
        <v>140</v>
      </c>
      <c r="E34" s="61" t="s">
        <v>35</v>
      </c>
      <c r="F34" s="47" t="s">
        <v>36</v>
      </c>
      <c r="G34" s="3" t="s">
        <v>37</v>
      </c>
      <c r="H34" s="3" t="s">
        <v>42</v>
      </c>
      <c r="I34" s="47" t="s">
        <v>38</v>
      </c>
      <c r="J34" s="3" t="s">
        <v>39</v>
      </c>
      <c r="K34" s="5">
        <f>1000000*1.18</f>
        <v>1180000</v>
      </c>
      <c r="L34" s="47" t="s">
        <v>239</v>
      </c>
      <c r="M34" s="47" t="s">
        <v>239</v>
      </c>
      <c r="N34" s="3" t="s">
        <v>141</v>
      </c>
      <c r="O34" s="84" t="s">
        <v>41</v>
      </c>
      <c r="P34" s="84"/>
      <c r="Q34" s="84"/>
      <c r="R34" s="84"/>
      <c r="S34" s="84"/>
      <c r="T34" s="84"/>
      <c r="U34" s="84"/>
      <c r="V34" s="84"/>
    </row>
    <row r="35" spans="1:22" s="46" customFormat="1" ht="72">
      <c r="A35" s="72" t="s">
        <v>201</v>
      </c>
      <c r="B35" s="3" t="s">
        <v>34</v>
      </c>
      <c r="C35" s="47" t="s">
        <v>45</v>
      </c>
      <c r="D35" s="4" t="s">
        <v>127</v>
      </c>
      <c r="E35" s="61" t="s">
        <v>35</v>
      </c>
      <c r="F35" s="47" t="s">
        <v>36</v>
      </c>
      <c r="G35" s="3" t="s">
        <v>37</v>
      </c>
      <c r="H35" s="3" t="s">
        <v>42</v>
      </c>
      <c r="I35" s="47" t="s">
        <v>38</v>
      </c>
      <c r="J35" s="3" t="s">
        <v>39</v>
      </c>
      <c r="K35" s="5">
        <f>372000*1.18</f>
        <v>438960</v>
      </c>
      <c r="L35" s="47" t="s">
        <v>239</v>
      </c>
      <c r="M35" s="3" t="s">
        <v>240</v>
      </c>
      <c r="N35" s="3" t="s">
        <v>40</v>
      </c>
      <c r="O35" s="84" t="s">
        <v>41</v>
      </c>
      <c r="P35" s="84"/>
      <c r="Q35" s="84"/>
      <c r="R35" s="84"/>
      <c r="S35" s="84"/>
      <c r="T35" s="84"/>
      <c r="U35" s="84"/>
      <c r="V35" s="84"/>
    </row>
    <row r="36" spans="1:22" s="46" customFormat="1" ht="72">
      <c r="A36" s="72" t="s">
        <v>202</v>
      </c>
      <c r="B36" s="3" t="s">
        <v>34</v>
      </c>
      <c r="C36" s="47" t="s">
        <v>45</v>
      </c>
      <c r="D36" s="4" t="s">
        <v>128</v>
      </c>
      <c r="E36" s="61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5">
        <f>135000*1.18</f>
        <v>159300</v>
      </c>
      <c r="L36" s="47" t="s">
        <v>239</v>
      </c>
      <c r="M36" s="3" t="s">
        <v>241</v>
      </c>
      <c r="N36" s="3" t="s">
        <v>40</v>
      </c>
      <c r="O36" s="84" t="s">
        <v>41</v>
      </c>
      <c r="P36" s="84"/>
      <c r="Q36" s="84"/>
      <c r="R36" s="84"/>
      <c r="S36" s="84"/>
      <c r="T36" s="84"/>
      <c r="U36" s="84"/>
      <c r="V36" s="84"/>
    </row>
    <row r="37" spans="1:22" s="46" customFormat="1" ht="72">
      <c r="A37" s="72" t="s">
        <v>203</v>
      </c>
      <c r="B37" s="3" t="s">
        <v>34</v>
      </c>
      <c r="C37" s="47" t="s">
        <v>184</v>
      </c>
      <c r="D37" s="4" t="s">
        <v>185</v>
      </c>
      <c r="E37" s="61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5">
        <f>4085600*1.18</f>
        <v>4821008</v>
      </c>
      <c r="L37" s="47" t="s">
        <v>239</v>
      </c>
      <c r="M37" s="3" t="s">
        <v>237</v>
      </c>
      <c r="N37" s="3" t="s">
        <v>43</v>
      </c>
      <c r="O37" s="84" t="s">
        <v>41</v>
      </c>
      <c r="P37" s="84"/>
      <c r="Q37" s="84"/>
      <c r="R37" s="84"/>
      <c r="S37" s="84"/>
      <c r="T37" s="84"/>
      <c r="U37" s="84"/>
      <c r="V37" s="84"/>
    </row>
    <row r="38" spans="1:22" s="46" customFormat="1" ht="72" customHeight="1">
      <c r="A38" s="72" t="s">
        <v>204</v>
      </c>
      <c r="B38" s="3" t="s">
        <v>34</v>
      </c>
      <c r="C38" s="47" t="s">
        <v>45</v>
      </c>
      <c r="D38" s="4" t="s">
        <v>179</v>
      </c>
      <c r="E38" s="61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5">
        <f>850000*1.18</f>
        <v>1003000</v>
      </c>
      <c r="L38" s="47" t="s">
        <v>239</v>
      </c>
      <c r="M38" s="3" t="s">
        <v>237</v>
      </c>
      <c r="N38" s="3" t="s">
        <v>43</v>
      </c>
      <c r="O38" s="84" t="s">
        <v>41</v>
      </c>
      <c r="P38" s="84"/>
      <c r="Q38" s="84"/>
      <c r="R38" s="84"/>
      <c r="S38" s="84"/>
      <c r="T38" s="84"/>
      <c r="U38" s="84"/>
      <c r="V38" s="84"/>
    </row>
    <row r="39" spans="1:22" s="46" customFormat="1" ht="72">
      <c r="A39" s="72" t="s">
        <v>52</v>
      </c>
      <c r="B39" s="3" t="s">
        <v>34</v>
      </c>
      <c r="C39" s="3" t="s">
        <v>171</v>
      </c>
      <c r="D39" s="4" t="s">
        <v>174</v>
      </c>
      <c r="E39" s="61" t="s">
        <v>35</v>
      </c>
      <c r="F39" s="47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5">
        <f>(1500000+2364830.75)*1.18</f>
        <v>4560500.285</v>
      </c>
      <c r="L39" s="47" t="s">
        <v>239</v>
      </c>
      <c r="M39" s="3" t="s">
        <v>242</v>
      </c>
      <c r="N39" s="3" t="s">
        <v>43</v>
      </c>
      <c r="O39" s="84" t="s">
        <v>41</v>
      </c>
      <c r="P39" s="84"/>
      <c r="Q39" s="84"/>
      <c r="R39" s="84"/>
      <c r="S39" s="84"/>
      <c r="T39" s="84"/>
      <c r="U39" s="84"/>
      <c r="V39" s="84"/>
    </row>
    <row r="40" spans="1:22" s="46" customFormat="1" ht="72">
      <c r="A40" s="72" t="s">
        <v>53</v>
      </c>
      <c r="B40" s="3" t="s">
        <v>34</v>
      </c>
      <c r="C40" s="47" t="s">
        <v>72</v>
      </c>
      <c r="D40" s="4" t="s">
        <v>261</v>
      </c>
      <c r="E40" s="61" t="s">
        <v>35</v>
      </c>
      <c r="F40" s="3" t="s">
        <v>262</v>
      </c>
      <c r="G40" s="3" t="s">
        <v>263</v>
      </c>
      <c r="H40" s="3" t="s">
        <v>42</v>
      </c>
      <c r="I40" s="47" t="s">
        <v>38</v>
      </c>
      <c r="J40" s="3" t="s">
        <v>39</v>
      </c>
      <c r="K40" s="5">
        <f>1735150.13*1.18</f>
        <v>2047477.1533999997</v>
      </c>
      <c r="L40" s="47" t="s">
        <v>239</v>
      </c>
      <c r="M40" s="3" t="s">
        <v>242</v>
      </c>
      <c r="N40" s="3" t="s">
        <v>40</v>
      </c>
      <c r="O40" s="84" t="s">
        <v>41</v>
      </c>
      <c r="P40" s="84"/>
      <c r="Q40" s="84"/>
      <c r="R40" s="84"/>
      <c r="S40" s="84"/>
      <c r="T40" s="84"/>
      <c r="U40" s="84"/>
      <c r="V40" s="84"/>
    </row>
    <row r="41" spans="1:22" s="46" customFormat="1" ht="72">
      <c r="A41" s="72" t="s">
        <v>54</v>
      </c>
      <c r="B41" s="3" t="s">
        <v>123</v>
      </c>
      <c r="C41" s="47" t="s">
        <v>195</v>
      </c>
      <c r="D41" s="4" t="s">
        <v>189</v>
      </c>
      <c r="E41" s="61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5">
        <f>4371000*1.18</f>
        <v>5157780</v>
      </c>
      <c r="L41" s="47" t="s">
        <v>239</v>
      </c>
      <c r="M41" s="47" t="s">
        <v>237</v>
      </c>
      <c r="N41" s="3" t="s">
        <v>49</v>
      </c>
      <c r="O41" s="84" t="s">
        <v>41</v>
      </c>
      <c r="P41" s="84"/>
      <c r="Q41" s="84"/>
      <c r="R41" s="84"/>
      <c r="S41" s="84"/>
      <c r="T41" s="84"/>
      <c r="U41" s="84"/>
      <c r="V41" s="84"/>
    </row>
    <row r="42" spans="1:22" s="46" customFormat="1" ht="72">
      <c r="A42" s="72" t="s">
        <v>55</v>
      </c>
      <c r="B42" s="3" t="s">
        <v>34</v>
      </c>
      <c r="C42" s="47" t="s">
        <v>45</v>
      </c>
      <c r="D42" s="4" t="s">
        <v>236</v>
      </c>
      <c r="E42" s="61" t="s">
        <v>35</v>
      </c>
      <c r="F42" s="47" t="s">
        <v>36</v>
      </c>
      <c r="G42" s="3" t="s">
        <v>37</v>
      </c>
      <c r="H42" s="3" t="s">
        <v>42</v>
      </c>
      <c r="I42" s="47" t="s">
        <v>38</v>
      </c>
      <c r="J42" s="3" t="s">
        <v>39</v>
      </c>
      <c r="K42" s="5">
        <f>561553.97*1.18</f>
        <v>662633.6845999999</v>
      </c>
      <c r="L42" s="47" t="s">
        <v>237</v>
      </c>
      <c r="M42" s="3" t="s">
        <v>238</v>
      </c>
      <c r="N42" s="3" t="s">
        <v>40</v>
      </c>
      <c r="O42" s="84" t="s">
        <v>41</v>
      </c>
      <c r="P42" s="84"/>
      <c r="Q42" s="84"/>
      <c r="R42" s="84"/>
      <c r="S42" s="84"/>
      <c r="T42" s="84"/>
      <c r="U42" s="84"/>
      <c r="V42" s="84"/>
    </row>
    <row r="43" spans="1:22" s="46" customFormat="1" ht="72">
      <c r="A43" s="72" t="s">
        <v>56</v>
      </c>
      <c r="B43" s="3" t="s">
        <v>34</v>
      </c>
      <c r="C43" s="47" t="s">
        <v>229</v>
      </c>
      <c r="D43" s="4" t="s">
        <v>175</v>
      </c>
      <c r="E43" s="61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5">
        <f>(280000+129000)*1.18</f>
        <v>482620</v>
      </c>
      <c r="L43" s="47" t="s">
        <v>245</v>
      </c>
      <c r="M43" s="3" t="s">
        <v>243</v>
      </c>
      <c r="N43" s="3" t="s">
        <v>40</v>
      </c>
      <c r="O43" s="84" t="s">
        <v>41</v>
      </c>
      <c r="P43" s="84"/>
      <c r="Q43" s="84"/>
      <c r="R43" s="84"/>
      <c r="S43" s="84"/>
      <c r="T43" s="84"/>
      <c r="U43" s="84"/>
      <c r="V43" s="84"/>
    </row>
    <row r="44" spans="1:22" s="46" customFormat="1" ht="72">
      <c r="A44" s="72" t="s">
        <v>57</v>
      </c>
      <c r="B44" s="3" t="s">
        <v>34</v>
      </c>
      <c r="C44" s="47" t="s">
        <v>230</v>
      </c>
      <c r="D44" s="4" t="s">
        <v>259</v>
      </c>
      <c r="E44" s="61" t="s">
        <v>35</v>
      </c>
      <c r="F44" s="47" t="s">
        <v>36</v>
      </c>
      <c r="G44" s="3" t="s">
        <v>37</v>
      </c>
      <c r="H44" s="3" t="s">
        <v>42</v>
      </c>
      <c r="I44" s="47" t="s">
        <v>38</v>
      </c>
      <c r="J44" s="3" t="s">
        <v>39</v>
      </c>
      <c r="K44" s="5">
        <f>153008.81*1.18</f>
        <v>180550.3958</v>
      </c>
      <c r="L44" s="47" t="s">
        <v>245</v>
      </c>
      <c r="M44" s="3" t="s">
        <v>244</v>
      </c>
      <c r="N44" s="3" t="s">
        <v>40</v>
      </c>
      <c r="O44" s="81" t="s">
        <v>41</v>
      </c>
      <c r="P44" s="107"/>
      <c r="Q44" s="107"/>
      <c r="R44" s="107"/>
      <c r="S44" s="107"/>
      <c r="T44" s="107"/>
      <c r="U44" s="107"/>
      <c r="V44" s="108"/>
    </row>
    <row r="45" spans="1:22" s="46" customFormat="1" ht="36">
      <c r="A45" s="72" t="s">
        <v>58</v>
      </c>
      <c r="B45" s="3" t="s">
        <v>256</v>
      </c>
      <c r="C45" s="47" t="s">
        <v>255</v>
      </c>
      <c r="D45" s="4" t="s">
        <v>257</v>
      </c>
      <c r="E45" s="61" t="s">
        <v>35</v>
      </c>
      <c r="F45" s="47" t="s">
        <v>46</v>
      </c>
      <c r="G45" s="3" t="s">
        <v>258</v>
      </c>
      <c r="H45" s="3" t="s">
        <v>42</v>
      </c>
      <c r="I45" s="47" t="s">
        <v>38</v>
      </c>
      <c r="J45" s="3" t="s">
        <v>39</v>
      </c>
      <c r="K45" s="5">
        <f>204613.93*1.18</f>
        <v>241444.43739999997</v>
      </c>
      <c r="L45" s="47" t="s">
        <v>245</v>
      </c>
      <c r="M45" s="3" t="s">
        <v>244</v>
      </c>
      <c r="N45" s="3" t="s">
        <v>40</v>
      </c>
      <c r="O45" s="81" t="s">
        <v>41</v>
      </c>
      <c r="P45" s="107"/>
      <c r="Q45" s="107"/>
      <c r="R45" s="107"/>
      <c r="S45" s="107"/>
      <c r="T45" s="107"/>
      <c r="U45" s="107"/>
      <c r="V45" s="108"/>
    </row>
    <row r="46" spans="1:22" s="46" customFormat="1" ht="72">
      <c r="A46" s="72" t="s">
        <v>59</v>
      </c>
      <c r="B46" s="3" t="s">
        <v>34</v>
      </c>
      <c r="C46" s="47"/>
      <c r="D46" s="4" t="s">
        <v>260</v>
      </c>
      <c r="E46" s="61" t="s">
        <v>35</v>
      </c>
      <c r="F46" s="47" t="s">
        <v>69</v>
      </c>
      <c r="G46" s="3" t="s">
        <v>70</v>
      </c>
      <c r="H46" s="3" t="s">
        <v>42</v>
      </c>
      <c r="I46" s="47" t="s">
        <v>38</v>
      </c>
      <c r="J46" s="3" t="s">
        <v>39</v>
      </c>
      <c r="K46" s="5">
        <f>223224*1.18</f>
        <v>263404.32</v>
      </c>
      <c r="L46" s="47" t="s">
        <v>245</v>
      </c>
      <c r="M46" s="3" t="s">
        <v>244</v>
      </c>
      <c r="N46" s="3" t="s">
        <v>40</v>
      </c>
      <c r="O46" s="81" t="s">
        <v>41</v>
      </c>
      <c r="P46" s="107"/>
      <c r="Q46" s="107"/>
      <c r="R46" s="107"/>
      <c r="S46" s="107"/>
      <c r="T46" s="107"/>
      <c r="U46" s="107"/>
      <c r="V46" s="108"/>
    </row>
    <row r="47" spans="1:22" s="46" customFormat="1" ht="15">
      <c r="A47" s="8"/>
      <c r="B47" s="3"/>
      <c r="D47" s="8"/>
      <c r="E47" s="8"/>
      <c r="F47" s="8"/>
      <c r="G47" s="8"/>
      <c r="H47" s="8"/>
      <c r="I47" s="8"/>
      <c r="J47" s="8"/>
      <c r="K47" s="9">
        <f>SUM(K22:K46)</f>
        <v>125790136.26719998</v>
      </c>
      <c r="L47" s="8"/>
      <c r="M47" s="8"/>
      <c r="N47" s="8"/>
      <c r="O47" s="112"/>
      <c r="P47" s="112"/>
      <c r="Q47" s="112"/>
      <c r="R47" s="112"/>
      <c r="S47" s="112"/>
      <c r="T47" s="112"/>
      <c r="U47" s="112"/>
      <c r="V47" s="112"/>
    </row>
    <row r="48" spans="1:22" s="46" customFormat="1" ht="15">
      <c r="A48" s="109" t="s">
        <v>85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1"/>
    </row>
    <row r="49" spans="1:22" s="46" customFormat="1" ht="72">
      <c r="A49" s="47" t="s">
        <v>60</v>
      </c>
      <c r="B49" s="3" t="s">
        <v>34</v>
      </c>
      <c r="C49" s="47" t="s">
        <v>231</v>
      </c>
      <c r="D49" s="4" t="s">
        <v>234</v>
      </c>
      <c r="E49" s="61" t="s">
        <v>35</v>
      </c>
      <c r="F49" s="47" t="s">
        <v>232</v>
      </c>
      <c r="G49" s="3" t="s">
        <v>233</v>
      </c>
      <c r="H49" s="3" t="s">
        <v>42</v>
      </c>
      <c r="I49" s="47" t="s">
        <v>38</v>
      </c>
      <c r="J49" s="3" t="s">
        <v>39</v>
      </c>
      <c r="K49" s="5">
        <f>651725.73*1.18</f>
        <v>769036.3613999999</v>
      </c>
      <c r="L49" s="47" t="s">
        <v>247</v>
      </c>
      <c r="M49" s="47" t="s">
        <v>235</v>
      </c>
      <c r="N49" s="47" t="s">
        <v>40</v>
      </c>
      <c r="O49" s="84" t="s">
        <v>41</v>
      </c>
      <c r="P49" s="84"/>
      <c r="Q49" s="84"/>
      <c r="R49" s="84"/>
      <c r="S49" s="84"/>
      <c r="T49" s="84"/>
      <c r="U49" s="84"/>
      <c r="V49" s="84"/>
    </row>
    <row r="50" spans="1:22" s="46" customFormat="1" ht="72">
      <c r="A50" s="47" t="s">
        <v>61</v>
      </c>
      <c r="B50" s="3" t="s">
        <v>34</v>
      </c>
      <c r="C50" s="3" t="s">
        <v>324</v>
      </c>
      <c r="D50" s="4" t="s">
        <v>325</v>
      </c>
      <c r="E50" s="61" t="s">
        <v>35</v>
      </c>
      <c r="F50" s="47" t="s">
        <v>36</v>
      </c>
      <c r="G50" s="3" t="s">
        <v>37</v>
      </c>
      <c r="H50" s="3" t="s">
        <v>42</v>
      </c>
      <c r="I50" s="47" t="s">
        <v>38</v>
      </c>
      <c r="J50" s="3" t="s">
        <v>39</v>
      </c>
      <c r="K50" s="5">
        <v>930000</v>
      </c>
      <c r="L50" s="47" t="s">
        <v>247</v>
      </c>
      <c r="M50" s="47" t="s">
        <v>235</v>
      </c>
      <c r="N50" s="3" t="s">
        <v>43</v>
      </c>
      <c r="O50" s="84" t="s">
        <v>278</v>
      </c>
      <c r="P50" s="84"/>
      <c r="Q50" s="84"/>
      <c r="R50" s="84"/>
      <c r="S50" s="84"/>
      <c r="T50" s="84"/>
      <c r="U50" s="84"/>
      <c r="V50" s="84"/>
    </row>
    <row r="51" spans="1:22" s="46" customFormat="1" ht="72">
      <c r="A51" s="72" t="s">
        <v>62</v>
      </c>
      <c r="B51" s="3" t="s">
        <v>34</v>
      </c>
      <c r="C51" s="47" t="s">
        <v>267</v>
      </c>
      <c r="D51" s="4" t="s">
        <v>279</v>
      </c>
      <c r="E51" s="61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5">
        <v>510000</v>
      </c>
      <c r="L51" s="47" t="s">
        <v>247</v>
      </c>
      <c r="M51" s="47" t="s">
        <v>235</v>
      </c>
      <c r="N51" s="3" t="s">
        <v>40</v>
      </c>
      <c r="O51" s="84" t="s">
        <v>41</v>
      </c>
      <c r="P51" s="84"/>
      <c r="Q51" s="84"/>
      <c r="R51" s="84"/>
      <c r="S51" s="84"/>
      <c r="T51" s="84"/>
      <c r="U51" s="84"/>
      <c r="V51" s="84"/>
    </row>
    <row r="52" spans="1:22" s="46" customFormat="1" ht="72">
      <c r="A52" s="72" t="s">
        <v>63</v>
      </c>
      <c r="B52" s="3" t="s">
        <v>34</v>
      </c>
      <c r="C52" s="47" t="s">
        <v>281</v>
      </c>
      <c r="D52" s="4" t="s">
        <v>280</v>
      </c>
      <c r="E52" s="61" t="s">
        <v>35</v>
      </c>
      <c r="F52" s="47" t="s">
        <v>36</v>
      </c>
      <c r="G52" s="3" t="s">
        <v>37</v>
      </c>
      <c r="H52" s="3" t="s">
        <v>283</v>
      </c>
      <c r="I52" s="47" t="s">
        <v>38</v>
      </c>
      <c r="J52" s="3" t="s">
        <v>39</v>
      </c>
      <c r="K52" s="5">
        <v>2163000</v>
      </c>
      <c r="L52" s="47" t="s">
        <v>247</v>
      </c>
      <c r="M52" s="47" t="s">
        <v>235</v>
      </c>
      <c r="N52" s="3" t="s">
        <v>43</v>
      </c>
      <c r="O52" s="84" t="s">
        <v>41</v>
      </c>
      <c r="P52" s="84"/>
      <c r="Q52" s="84"/>
      <c r="R52" s="84"/>
      <c r="S52" s="84"/>
      <c r="T52" s="84"/>
      <c r="U52" s="84"/>
      <c r="V52" s="84"/>
    </row>
    <row r="53" spans="1:22" s="46" customFormat="1" ht="72">
      <c r="A53" s="72" t="s">
        <v>64</v>
      </c>
      <c r="B53" s="3" t="s">
        <v>34</v>
      </c>
      <c r="C53" s="47">
        <v>1920000</v>
      </c>
      <c r="D53" s="4" t="s">
        <v>282</v>
      </c>
      <c r="E53" s="61" t="s">
        <v>35</v>
      </c>
      <c r="F53" s="47" t="s">
        <v>36</v>
      </c>
      <c r="G53" s="3" t="s">
        <v>37</v>
      </c>
      <c r="H53" s="3" t="s">
        <v>42</v>
      </c>
      <c r="I53" s="47" t="s">
        <v>38</v>
      </c>
      <c r="J53" s="3" t="s">
        <v>39</v>
      </c>
      <c r="K53" s="5">
        <f>230000+642510</f>
        <v>872510</v>
      </c>
      <c r="L53" s="47" t="s">
        <v>247</v>
      </c>
      <c r="M53" s="47" t="s">
        <v>235</v>
      </c>
      <c r="N53" s="3" t="s">
        <v>40</v>
      </c>
      <c r="O53" s="84" t="s">
        <v>41</v>
      </c>
      <c r="P53" s="84"/>
      <c r="Q53" s="84"/>
      <c r="R53" s="84"/>
      <c r="S53" s="84"/>
      <c r="T53" s="84"/>
      <c r="U53" s="84"/>
      <c r="V53" s="84"/>
    </row>
    <row r="54" spans="1:22" s="46" customFormat="1" ht="72">
      <c r="A54" s="72" t="s">
        <v>65</v>
      </c>
      <c r="B54" s="3" t="s">
        <v>34</v>
      </c>
      <c r="C54" s="47" t="s">
        <v>45</v>
      </c>
      <c r="D54" s="4" t="s">
        <v>163</v>
      </c>
      <c r="E54" s="61" t="s">
        <v>35</v>
      </c>
      <c r="F54" s="47" t="s">
        <v>36</v>
      </c>
      <c r="G54" s="3" t="s">
        <v>37</v>
      </c>
      <c r="H54" s="3" t="s">
        <v>42</v>
      </c>
      <c r="I54" s="47" t="s">
        <v>38</v>
      </c>
      <c r="J54" s="3" t="s">
        <v>39</v>
      </c>
      <c r="K54" s="5">
        <f>2540000*1.18</f>
        <v>2997200</v>
      </c>
      <c r="L54" s="47" t="s">
        <v>235</v>
      </c>
      <c r="M54" s="3" t="s">
        <v>239</v>
      </c>
      <c r="N54" s="3" t="s">
        <v>40</v>
      </c>
      <c r="O54" s="84" t="s">
        <v>41</v>
      </c>
      <c r="P54" s="84"/>
      <c r="Q54" s="84"/>
      <c r="R54" s="84"/>
      <c r="S54" s="84"/>
      <c r="T54" s="84"/>
      <c r="U54" s="84"/>
      <c r="V54" s="84"/>
    </row>
    <row r="55" spans="1:22" s="46" customFormat="1" ht="72">
      <c r="A55" s="72" t="s">
        <v>66</v>
      </c>
      <c r="B55" s="3" t="s">
        <v>34</v>
      </c>
      <c r="C55" s="47" t="s">
        <v>368</v>
      </c>
      <c r="D55" s="4" t="s">
        <v>369</v>
      </c>
      <c r="E55" s="61" t="s">
        <v>35</v>
      </c>
      <c r="F55" s="3" t="s">
        <v>36</v>
      </c>
      <c r="G55" s="3" t="s">
        <v>37</v>
      </c>
      <c r="H55" s="3" t="s">
        <v>42</v>
      </c>
      <c r="I55" s="47" t="s">
        <v>38</v>
      </c>
      <c r="J55" s="3" t="s">
        <v>39</v>
      </c>
      <c r="K55" s="5">
        <f>233828.01*1.18</f>
        <v>275917.0518</v>
      </c>
      <c r="L55" s="47" t="s">
        <v>235</v>
      </c>
      <c r="M55" s="3" t="s">
        <v>331</v>
      </c>
      <c r="N55" s="3" t="s">
        <v>40</v>
      </c>
      <c r="O55" s="84" t="s">
        <v>41</v>
      </c>
      <c r="P55" s="84"/>
      <c r="Q55" s="84"/>
      <c r="R55" s="84"/>
      <c r="S55" s="84"/>
      <c r="T55" s="84"/>
      <c r="U55" s="84"/>
      <c r="V55" s="84"/>
    </row>
    <row r="56" spans="1:22" s="46" customFormat="1" ht="72">
      <c r="A56" s="72" t="s">
        <v>67</v>
      </c>
      <c r="B56" s="3" t="s">
        <v>34</v>
      </c>
      <c r="C56" s="3" t="s">
        <v>271</v>
      </c>
      <c r="D56" s="4" t="s">
        <v>270</v>
      </c>
      <c r="E56" s="61" t="s">
        <v>35</v>
      </c>
      <c r="F56" s="3" t="s">
        <v>268</v>
      </c>
      <c r="G56" s="3" t="s">
        <v>269</v>
      </c>
      <c r="H56" s="3" t="s">
        <v>42</v>
      </c>
      <c r="I56" s="47" t="s">
        <v>38</v>
      </c>
      <c r="J56" s="3" t="s">
        <v>39</v>
      </c>
      <c r="K56" s="5">
        <f>(619237.07+37931.31)*1.18</f>
        <v>775458.6883999999</v>
      </c>
      <c r="L56" s="47" t="s">
        <v>239</v>
      </c>
      <c r="M56" s="3" t="s">
        <v>248</v>
      </c>
      <c r="N56" s="3" t="s">
        <v>40</v>
      </c>
      <c r="O56" s="84" t="s">
        <v>41</v>
      </c>
      <c r="P56" s="84"/>
      <c r="Q56" s="84"/>
      <c r="R56" s="84"/>
      <c r="S56" s="84"/>
      <c r="T56" s="84"/>
      <c r="U56" s="84"/>
      <c r="V56" s="84"/>
    </row>
    <row r="57" spans="1:22" s="46" customFormat="1" ht="72">
      <c r="A57" s="72" t="s">
        <v>68</v>
      </c>
      <c r="B57" s="3" t="s">
        <v>34</v>
      </c>
      <c r="C57" s="3" t="s">
        <v>375</v>
      </c>
      <c r="D57" s="43" t="s">
        <v>376</v>
      </c>
      <c r="E57" s="44" t="s">
        <v>35</v>
      </c>
      <c r="F57" s="42" t="s">
        <v>36</v>
      </c>
      <c r="G57" s="42" t="s">
        <v>37</v>
      </c>
      <c r="H57" s="42" t="s">
        <v>42</v>
      </c>
      <c r="I57" s="21" t="s">
        <v>38</v>
      </c>
      <c r="J57" s="42" t="s">
        <v>39</v>
      </c>
      <c r="K57" s="45">
        <v>397000</v>
      </c>
      <c r="L57" s="21" t="s">
        <v>250</v>
      </c>
      <c r="M57" s="42" t="s">
        <v>250</v>
      </c>
      <c r="N57" s="42" t="s">
        <v>49</v>
      </c>
      <c r="O57" s="84" t="s">
        <v>41</v>
      </c>
      <c r="P57" s="84"/>
      <c r="Q57" s="84"/>
      <c r="R57" s="84"/>
      <c r="S57" s="84"/>
      <c r="T57" s="84"/>
      <c r="U57" s="84"/>
      <c r="V57" s="84"/>
    </row>
    <row r="58" spans="1:22" s="46" customFormat="1" ht="36">
      <c r="A58" s="72" t="s">
        <v>71</v>
      </c>
      <c r="B58" s="42" t="s">
        <v>265</v>
      </c>
      <c r="C58" s="62">
        <v>2300000</v>
      </c>
      <c r="D58" s="43" t="s">
        <v>264</v>
      </c>
      <c r="E58" s="44" t="s">
        <v>35</v>
      </c>
      <c r="F58" s="21" t="s">
        <v>36</v>
      </c>
      <c r="G58" s="42" t="s">
        <v>37</v>
      </c>
      <c r="H58" s="42" t="s">
        <v>42</v>
      </c>
      <c r="I58" s="21" t="s">
        <v>38</v>
      </c>
      <c r="J58" s="42" t="s">
        <v>39</v>
      </c>
      <c r="K58" s="45">
        <f>425194.56*1.18</f>
        <v>501729.5808</v>
      </c>
      <c r="L58" s="21" t="s">
        <v>379</v>
      </c>
      <c r="M58" s="42" t="s">
        <v>392</v>
      </c>
      <c r="N58" s="42" t="s">
        <v>40</v>
      </c>
      <c r="O58" s="84" t="s">
        <v>41</v>
      </c>
      <c r="P58" s="84"/>
      <c r="Q58" s="84"/>
      <c r="R58" s="84"/>
      <c r="S58" s="84"/>
      <c r="T58" s="84"/>
      <c r="U58" s="84"/>
      <c r="V58" s="84"/>
    </row>
    <row r="59" spans="1:22" s="46" customFormat="1" ht="72">
      <c r="A59" s="72" t="s">
        <v>73</v>
      </c>
      <c r="B59" s="3" t="s">
        <v>34</v>
      </c>
      <c r="C59" s="3" t="s">
        <v>272</v>
      </c>
      <c r="D59" s="4" t="s">
        <v>273</v>
      </c>
      <c r="E59" s="61" t="s">
        <v>274</v>
      </c>
      <c r="F59" s="3" t="s">
        <v>275</v>
      </c>
      <c r="G59" s="3" t="s">
        <v>276</v>
      </c>
      <c r="H59" s="3" t="s">
        <v>42</v>
      </c>
      <c r="I59" s="47" t="s">
        <v>38</v>
      </c>
      <c r="J59" s="3" t="s">
        <v>39</v>
      </c>
      <c r="K59" s="45">
        <f>560653.8*1.18</f>
        <v>661571.484</v>
      </c>
      <c r="L59" s="21" t="s">
        <v>277</v>
      </c>
      <c r="M59" s="42" t="s">
        <v>277</v>
      </c>
      <c r="N59" s="42" t="s">
        <v>40</v>
      </c>
      <c r="O59" s="84" t="s">
        <v>41</v>
      </c>
      <c r="P59" s="84"/>
      <c r="Q59" s="84"/>
      <c r="R59" s="84"/>
      <c r="S59" s="84"/>
      <c r="T59" s="84"/>
      <c r="U59" s="84"/>
      <c r="V59" s="84"/>
    </row>
    <row r="60" spans="1:22" s="46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9">
        <f>SUM(K49:K59)</f>
        <v>10853423.1664</v>
      </c>
      <c r="L60" s="8"/>
      <c r="M60" s="8"/>
      <c r="N60" s="8"/>
      <c r="O60" s="99"/>
      <c r="P60" s="82"/>
      <c r="Q60" s="82"/>
      <c r="R60" s="82"/>
      <c r="S60" s="82"/>
      <c r="T60" s="82"/>
      <c r="U60" s="82"/>
      <c r="V60" s="83"/>
    </row>
    <row r="61" spans="1:22" s="46" customFormat="1" ht="15">
      <c r="A61" s="109" t="s">
        <v>90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1"/>
    </row>
    <row r="62" spans="1:22" s="46" customFormat="1" ht="72">
      <c r="A62" s="47" t="s">
        <v>74</v>
      </c>
      <c r="B62" s="3" t="s">
        <v>34</v>
      </c>
      <c r="C62" s="47" t="s">
        <v>72</v>
      </c>
      <c r="D62" s="4" t="s">
        <v>341</v>
      </c>
      <c r="E62" s="3" t="s">
        <v>94</v>
      </c>
      <c r="F62" s="47" t="s">
        <v>36</v>
      </c>
      <c r="G62" s="3" t="s">
        <v>37</v>
      </c>
      <c r="H62" s="3" t="s">
        <v>42</v>
      </c>
      <c r="I62" s="47" t="s">
        <v>38</v>
      </c>
      <c r="J62" s="3" t="s">
        <v>39</v>
      </c>
      <c r="K62" s="5">
        <f>13832000*1.18</f>
        <v>16321760</v>
      </c>
      <c r="L62" s="47" t="s">
        <v>235</v>
      </c>
      <c r="M62" s="3" t="s">
        <v>239</v>
      </c>
      <c r="N62" s="3" t="s">
        <v>43</v>
      </c>
      <c r="O62" s="84" t="s">
        <v>41</v>
      </c>
      <c r="P62" s="84"/>
      <c r="Q62" s="84"/>
      <c r="R62" s="84"/>
      <c r="S62" s="84"/>
      <c r="T62" s="84"/>
      <c r="U62" s="84"/>
      <c r="V62" s="84"/>
    </row>
    <row r="63" spans="1:22" s="46" customFormat="1" ht="72">
      <c r="A63" s="47" t="s">
        <v>75</v>
      </c>
      <c r="B63" s="3" t="s">
        <v>34</v>
      </c>
      <c r="C63" s="47" t="s">
        <v>72</v>
      </c>
      <c r="D63" s="4" t="s">
        <v>130</v>
      </c>
      <c r="E63" s="3" t="s">
        <v>94</v>
      </c>
      <c r="F63" s="47" t="s">
        <v>131</v>
      </c>
      <c r="G63" s="3" t="s">
        <v>132</v>
      </c>
      <c r="H63" s="3" t="s">
        <v>89</v>
      </c>
      <c r="I63" s="47" t="s">
        <v>38</v>
      </c>
      <c r="J63" s="3" t="s">
        <v>39</v>
      </c>
      <c r="K63" s="5">
        <f>1350000*1.18</f>
        <v>1593000</v>
      </c>
      <c r="L63" s="47" t="s">
        <v>235</v>
      </c>
      <c r="M63" s="3" t="s">
        <v>239</v>
      </c>
      <c r="N63" s="3" t="s">
        <v>43</v>
      </c>
      <c r="O63" s="84" t="s">
        <v>41</v>
      </c>
      <c r="P63" s="84"/>
      <c r="Q63" s="84"/>
      <c r="R63" s="84"/>
      <c r="S63" s="84"/>
      <c r="T63" s="84"/>
      <c r="U63" s="84"/>
      <c r="V63" s="84"/>
    </row>
    <row r="64" spans="1:22" s="46" customFormat="1" ht="72">
      <c r="A64" s="72" t="s">
        <v>76</v>
      </c>
      <c r="B64" s="3" t="s">
        <v>34</v>
      </c>
      <c r="C64" s="47" t="s">
        <v>72</v>
      </c>
      <c r="D64" s="4" t="s">
        <v>178</v>
      </c>
      <c r="E64" s="3" t="s">
        <v>94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5">
        <f>1800000*1.18</f>
        <v>2124000</v>
      </c>
      <c r="L64" s="3" t="s">
        <v>337</v>
      </c>
      <c r="M64" s="3" t="s">
        <v>248</v>
      </c>
      <c r="N64" s="3" t="s">
        <v>43</v>
      </c>
      <c r="O64" s="84" t="s">
        <v>41</v>
      </c>
      <c r="P64" s="84"/>
      <c r="Q64" s="84"/>
      <c r="R64" s="84"/>
      <c r="S64" s="84"/>
      <c r="T64" s="84"/>
      <c r="U64" s="84"/>
      <c r="V64" s="84"/>
    </row>
    <row r="65" spans="1:22" s="46" customFormat="1" ht="72">
      <c r="A65" s="72" t="s">
        <v>77</v>
      </c>
      <c r="B65" s="3" t="s">
        <v>34</v>
      </c>
      <c r="C65" s="47" t="s">
        <v>72</v>
      </c>
      <c r="D65" s="4" t="s">
        <v>135</v>
      </c>
      <c r="E65" s="3" t="s">
        <v>94</v>
      </c>
      <c r="F65" s="47" t="s">
        <v>131</v>
      </c>
      <c r="G65" s="3" t="s">
        <v>132</v>
      </c>
      <c r="H65" s="3" t="s">
        <v>122</v>
      </c>
      <c r="I65" s="47" t="s">
        <v>38</v>
      </c>
      <c r="J65" s="3" t="s">
        <v>39</v>
      </c>
      <c r="K65" s="5">
        <f>1100000*1.18</f>
        <v>1298000</v>
      </c>
      <c r="L65" s="47" t="s">
        <v>239</v>
      </c>
      <c r="M65" s="3" t="s">
        <v>237</v>
      </c>
      <c r="N65" s="3" t="s">
        <v>43</v>
      </c>
      <c r="O65" s="84" t="s">
        <v>41</v>
      </c>
      <c r="P65" s="84"/>
      <c r="Q65" s="84"/>
      <c r="R65" s="84"/>
      <c r="S65" s="84"/>
      <c r="T65" s="84"/>
      <c r="U65" s="84"/>
      <c r="V65" s="84"/>
    </row>
    <row r="66" spans="1:22" s="46" customFormat="1" ht="72">
      <c r="A66" s="72" t="s">
        <v>78</v>
      </c>
      <c r="B66" s="3" t="s">
        <v>34</v>
      </c>
      <c r="C66" s="47" t="s">
        <v>72</v>
      </c>
      <c r="D66" s="4" t="s">
        <v>136</v>
      </c>
      <c r="E66" s="3" t="s">
        <v>94</v>
      </c>
      <c r="F66" s="47" t="s">
        <v>36</v>
      </c>
      <c r="G66" s="3" t="s">
        <v>37</v>
      </c>
      <c r="H66" s="3" t="s">
        <v>42</v>
      </c>
      <c r="I66" s="47" t="s">
        <v>38</v>
      </c>
      <c r="J66" s="3" t="s">
        <v>39</v>
      </c>
      <c r="K66" s="5">
        <f>1695000*1.18</f>
        <v>2000100</v>
      </c>
      <c r="L66" s="3" t="s">
        <v>239</v>
      </c>
      <c r="M66" s="3" t="s">
        <v>237</v>
      </c>
      <c r="N66" s="3" t="s">
        <v>43</v>
      </c>
      <c r="O66" s="84" t="s">
        <v>41</v>
      </c>
      <c r="P66" s="84"/>
      <c r="Q66" s="84"/>
      <c r="R66" s="84"/>
      <c r="S66" s="84"/>
      <c r="T66" s="84"/>
      <c r="U66" s="84"/>
      <c r="V66" s="84"/>
    </row>
    <row r="67" spans="1:22" s="46" customFormat="1" ht="72">
      <c r="A67" s="72" t="s">
        <v>79</v>
      </c>
      <c r="B67" s="63" t="s">
        <v>34</v>
      </c>
      <c r="C67" s="64" t="s">
        <v>114</v>
      </c>
      <c r="D67" s="65" t="s">
        <v>177</v>
      </c>
      <c r="E67" s="63" t="s">
        <v>96</v>
      </c>
      <c r="F67" s="64" t="s">
        <v>36</v>
      </c>
      <c r="G67" s="63" t="s">
        <v>37</v>
      </c>
      <c r="H67" s="3" t="s">
        <v>42</v>
      </c>
      <c r="I67" s="64" t="s">
        <v>38</v>
      </c>
      <c r="J67" s="63" t="s">
        <v>39</v>
      </c>
      <c r="K67" s="66">
        <f>560000*1.18</f>
        <v>660800</v>
      </c>
      <c r="L67" s="3" t="s">
        <v>239</v>
      </c>
      <c r="M67" s="3" t="s">
        <v>237</v>
      </c>
      <c r="N67" s="63" t="s">
        <v>43</v>
      </c>
      <c r="O67" s="85" t="s">
        <v>41</v>
      </c>
      <c r="P67" s="86"/>
      <c r="Q67" s="86"/>
      <c r="R67" s="86"/>
      <c r="S67" s="86"/>
      <c r="T67" s="86"/>
      <c r="U67" s="86"/>
      <c r="V67" s="87"/>
    </row>
    <row r="68" spans="1:22" s="46" customFormat="1" ht="72">
      <c r="A68" s="72" t="s">
        <v>80</v>
      </c>
      <c r="B68" s="3" t="s">
        <v>34</v>
      </c>
      <c r="C68" s="11" t="s">
        <v>50</v>
      </c>
      <c r="D68" s="4" t="s">
        <v>159</v>
      </c>
      <c r="E68" s="3" t="s">
        <v>160</v>
      </c>
      <c r="F68" s="47" t="s">
        <v>36</v>
      </c>
      <c r="G68" s="3" t="s">
        <v>37</v>
      </c>
      <c r="H68" s="3" t="s">
        <v>42</v>
      </c>
      <c r="I68" s="47" t="s">
        <v>38</v>
      </c>
      <c r="J68" s="3" t="s">
        <v>39</v>
      </c>
      <c r="K68" s="5">
        <f>6000000*1.18</f>
        <v>7080000</v>
      </c>
      <c r="L68" s="3" t="s">
        <v>239</v>
      </c>
      <c r="M68" s="3" t="s">
        <v>237</v>
      </c>
      <c r="N68" s="3" t="s">
        <v>99</v>
      </c>
      <c r="O68" s="84" t="s">
        <v>41</v>
      </c>
      <c r="P68" s="84"/>
      <c r="Q68" s="84"/>
      <c r="R68" s="84"/>
      <c r="S68" s="84"/>
      <c r="T68" s="84"/>
      <c r="U68" s="84"/>
      <c r="V68" s="84"/>
    </row>
    <row r="69" spans="1:22" s="46" customFormat="1" ht="72">
      <c r="A69" s="72" t="s">
        <v>81</v>
      </c>
      <c r="B69" s="3" t="s">
        <v>34</v>
      </c>
      <c r="C69" s="11" t="s">
        <v>72</v>
      </c>
      <c r="D69" s="4" t="s">
        <v>188</v>
      </c>
      <c r="E69" s="3" t="s">
        <v>160</v>
      </c>
      <c r="F69" s="47" t="s">
        <v>36</v>
      </c>
      <c r="G69" s="3" t="s">
        <v>37</v>
      </c>
      <c r="H69" s="3" t="s">
        <v>42</v>
      </c>
      <c r="I69" s="47" t="s">
        <v>38</v>
      </c>
      <c r="J69" s="3" t="s">
        <v>39</v>
      </c>
      <c r="K69" s="5">
        <f>110000*1.18</f>
        <v>129800</v>
      </c>
      <c r="L69" s="47" t="s">
        <v>239</v>
      </c>
      <c r="M69" s="47" t="s">
        <v>237</v>
      </c>
      <c r="N69" s="3" t="s">
        <v>43</v>
      </c>
      <c r="O69" s="81" t="s">
        <v>41</v>
      </c>
      <c r="P69" s="107"/>
      <c r="Q69" s="107"/>
      <c r="R69" s="107"/>
      <c r="S69" s="107"/>
      <c r="T69" s="107"/>
      <c r="U69" s="107"/>
      <c r="V69" s="108"/>
    </row>
    <row r="70" spans="1:22" s="46" customFormat="1" ht="72">
      <c r="A70" s="72" t="s">
        <v>82</v>
      </c>
      <c r="B70" s="3" t="s">
        <v>34</v>
      </c>
      <c r="C70" s="47" t="s">
        <v>72</v>
      </c>
      <c r="D70" s="7" t="s">
        <v>336</v>
      </c>
      <c r="E70" s="3" t="s">
        <v>95</v>
      </c>
      <c r="F70" s="47" t="s">
        <v>36</v>
      </c>
      <c r="G70" s="3" t="s">
        <v>37</v>
      </c>
      <c r="H70" s="3" t="s">
        <v>42</v>
      </c>
      <c r="I70" s="47" t="s">
        <v>38</v>
      </c>
      <c r="J70" s="3" t="s">
        <v>39</v>
      </c>
      <c r="K70" s="5">
        <f>977000*1.18</f>
        <v>1152860</v>
      </c>
      <c r="L70" s="47" t="s">
        <v>239</v>
      </c>
      <c r="M70" s="47" t="s">
        <v>237</v>
      </c>
      <c r="N70" s="3" t="s">
        <v>43</v>
      </c>
      <c r="O70" s="84" t="s">
        <v>41</v>
      </c>
      <c r="P70" s="84"/>
      <c r="Q70" s="84"/>
      <c r="R70" s="84"/>
      <c r="S70" s="84"/>
      <c r="T70" s="84"/>
      <c r="U70" s="84"/>
      <c r="V70" s="84"/>
    </row>
    <row r="71" spans="1:22" s="46" customFormat="1" ht="72">
      <c r="A71" s="72" t="s">
        <v>83</v>
      </c>
      <c r="B71" s="3" t="s">
        <v>34</v>
      </c>
      <c r="C71" s="47" t="s">
        <v>72</v>
      </c>
      <c r="D71" s="4" t="s">
        <v>133</v>
      </c>
      <c r="E71" s="3" t="s">
        <v>94</v>
      </c>
      <c r="F71" s="47" t="s">
        <v>131</v>
      </c>
      <c r="G71" s="3" t="s">
        <v>132</v>
      </c>
      <c r="H71" s="3" t="s">
        <v>170</v>
      </c>
      <c r="I71" s="47" t="s">
        <v>38</v>
      </c>
      <c r="J71" s="3" t="s">
        <v>39</v>
      </c>
      <c r="K71" s="5">
        <f>4072000*1.18</f>
        <v>4804960</v>
      </c>
      <c r="L71" s="47" t="s">
        <v>237</v>
      </c>
      <c r="M71" s="3" t="s">
        <v>237</v>
      </c>
      <c r="N71" s="3" t="s">
        <v>43</v>
      </c>
      <c r="O71" s="84" t="s">
        <v>41</v>
      </c>
      <c r="P71" s="84"/>
      <c r="Q71" s="84"/>
      <c r="R71" s="84"/>
      <c r="S71" s="84"/>
      <c r="T71" s="84"/>
      <c r="U71" s="84"/>
      <c r="V71" s="84"/>
    </row>
    <row r="72" spans="1:22" s="46" customFormat="1" ht="72">
      <c r="A72" s="72" t="s">
        <v>84</v>
      </c>
      <c r="B72" s="3" t="s">
        <v>34</v>
      </c>
      <c r="C72" s="11" t="s">
        <v>72</v>
      </c>
      <c r="D72" s="4" t="s">
        <v>173</v>
      </c>
      <c r="E72" s="3" t="s">
        <v>160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5">
        <v>259796000</v>
      </c>
      <c r="L72" s="3" t="s">
        <v>237</v>
      </c>
      <c r="M72" s="47" t="s">
        <v>245</v>
      </c>
      <c r="N72" s="3" t="s">
        <v>43</v>
      </c>
      <c r="O72" s="84" t="s">
        <v>41</v>
      </c>
      <c r="P72" s="84"/>
      <c r="Q72" s="84"/>
      <c r="R72" s="84"/>
      <c r="S72" s="84"/>
      <c r="T72" s="84"/>
      <c r="U72" s="84"/>
      <c r="V72" s="84"/>
    </row>
    <row r="73" spans="1:22" s="46" customFormat="1" ht="101.25">
      <c r="A73" s="72" t="s">
        <v>86</v>
      </c>
      <c r="B73" s="3" t="s">
        <v>34</v>
      </c>
      <c r="C73" s="11" t="s">
        <v>72</v>
      </c>
      <c r="D73" s="7" t="s">
        <v>190</v>
      </c>
      <c r="E73" s="3" t="s">
        <v>160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5">
        <f>2863000*1.18</f>
        <v>3378340</v>
      </c>
      <c r="L73" s="3" t="s">
        <v>237</v>
      </c>
      <c r="M73" s="47" t="s">
        <v>245</v>
      </c>
      <c r="N73" s="3" t="s">
        <v>43</v>
      </c>
      <c r="O73" s="84" t="s">
        <v>41</v>
      </c>
      <c r="P73" s="84"/>
      <c r="Q73" s="84"/>
      <c r="R73" s="84"/>
      <c r="S73" s="84"/>
      <c r="T73" s="84"/>
      <c r="U73" s="84"/>
      <c r="V73" s="84"/>
    </row>
    <row r="74" spans="1:22" s="46" customFormat="1" ht="72">
      <c r="A74" s="72" t="s">
        <v>87</v>
      </c>
      <c r="B74" s="3" t="s">
        <v>34</v>
      </c>
      <c r="C74" s="47" t="s">
        <v>72</v>
      </c>
      <c r="D74" s="4" t="s">
        <v>126</v>
      </c>
      <c r="E74" s="3" t="s">
        <v>92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5">
        <f>129000*1.18</f>
        <v>152220</v>
      </c>
      <c r="L74" s="3" t="s">
        <v>237</v>
      </c>
      <c r="M74" s="47" t="s">
        <v>243</v>
      </c>
      <c r="N74" s="3" t="s">
        <v>43</v>
      </c>
      <c r="O74" s="48" t="s">
        <v>41</v>
      </c>
      <c r="P74" s="49"/>
      <c r="Q74" s="49"/>
      <c r="R74" s="49"/>
      <c r="S74" s="49"/>
      <c r="T74" s="49"/>
      <c r="U74" s="49"/>
      <c r="V74" s="50"/>
    </row>
    <row r="75" spans="1:22" s="46" customFormat="1" ht="72">
      <c r="A75" s="72" t="s">
        <v>88</v>
      </c>
      <c r="B75" s="3" t="s">
        <v>34</v>
      </c>
      <c r="C75" s="47" t="s">
        <v>72</v>
      </c>
      <c r="D75" s="4" t="s">
        <v>167</v>
      </c>
      <c r="E75" s="3" t="s">
        <v>94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5">
        <f>4319000*1.18</f>
        <v>5096420</v>
      </c>
      <c r="L75" s="3" t="s">
        <v>237</v>
      </c>
      <c r="M75" s="47" t="s">
        <v>245</v>
      </c>
      <c r="N75" s="3" t="s">
        <v>43</v>
      </c>
      <c r="O75" s="84" t="s">
        <v>41</v>
      </c>
      <c r="P75" s="84"/>
      <c r="Q75" s="84"/>
      <c r="R75" s="84"/>
      <c r="S75" s="84"/>
      <c r="T75" s="84"/>
      <c r="U75" s="84"/>
      <c r="V75" s="84"/>
    </row>
    <row r="76" spans="1:22" s="46" customFormat="1" ht="72">
      <c r="A76" s="72" t="s">
        <v>378</v>
      </c>
      <c r="B76" s="3" t="s">
        <v>34</v>
      </c>
      <c r="C76" s="47" t="s">
        <v>72</v>
      </c>
      <c r="D76" s="4" t="s">
        <v>148</v>
      </c>
      <c r="E76" s="3" t="s">
        <v>92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5">
        <f>253000*1.18</f>
        <v>298540</v>
      </c>
      <c r="L76" s="3" t="s">
        <v>237</v>
      </c>
      <c r="M76" s="3" t="s">
        <v>243</v>
      </c>
      <c r="N76" s="3" t="s">
        <v>43</v>
      </c>
      <c r="O76" s="84" t="s">
        <v>41</v>
      </c>
      <c r="P76" s="84"/>
      <c r="Q76" s="84"/>
      <c r="R76" s="84"/>
      <c r="S76" s="84"/>
      <c r="T76" s="84"/>
      <c r="U76" s="84"/>
      <c r="V76" s="84"/>
    </row>
    <row r="77" spans="1:22" s="46" customFormat="1" ht="72">
      <c r="A77" s="72" t="s">
        <v>89</v>
      </c>
      <c r="B77" s="3" t="s">
        <v>34</v>
      </c>
      <c r="C77" s="47" t="s">
        <v>72</v>
      </c>
      <c r="D77" s="7" t="s">
        <v>181</v>
      </c>
      <c r="E77" s="3" t="s">
        <v>95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5">
        <f>766000*1.18</f>
        <v>903880</v>
      </c>
      <c r="L77" s="47" t="s">
        <v>237</v>
      </c>
      <c r="M77" s="47" t="s">
        <v>245</v>
      </c>
      <c r="N77" s="3" t="s">
        <v>43</v>
      </c>
      <c r="O77" s="84" t="s">
        <v>41</v>
      </c>
      <c r="P77" s="84"/>
      <c r="Q77" s="84"/>
      <c r="R77" s="84"/>
      <c r="S77" s="84"/>
      <c r="T77" s="84"/>
      <c r="U77" s="84"/>
      <c r="V77" s="84"/>
    </row>
    <row r="78" spans="1:22" s="46" customFormat="1" ht="72">
      <c r="A78" s="72" t="s">
        <v>91</v>
      </c>
      <c r="B78" s="3" t="s">
        <v>123</v>
      </c>
      <c r="C78" s="11" t="s">
        <v>72</v>
      </c>
      <c r="D78" s="4" t="s">
        <v>345</v>
      </c>
      <c r="E78" s="3" t="s">
        <v>94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5">
        <f>247000*1.18</f>
        <v>291460</v>
      </c>
      <c r="L78" s="47" t="s">
        <v>245</v>
      </c>
      <c r="M78" s="47" t="s">
        <v>243</v>
      </c>
      <c r="N78" s="3" t="s">
        <v>43</v>
      </c>
      <c r="O78" s="81" t="s">
        <v>41</v>
      </c>
      <c r="P78" s="107"/>
      <c r="Q78" s="107"/>
      <c r="R78" s="107"/>
      <c r="S78" s="107"/>
      <c r="T78" s="107"/>
      <c r="U78" s="107"/>
      <c r="V78" s="108"/>
    </row>
    <row r="79" spans="1:22" s="46" customFormat="1" ht="72">
      <c r="A79" s="72" t="s">
        <v>93</v>
      </c>
      <c r="B79" s="3" t="s">
        <v>34</v>
      </c>
      <c r="C79" s="47" t="s">
        <v>72</v>
      </c>
      <c r="D79" s="7" t="s">
        <v>166</v>
      </c>
      <c r="E79" s="3" t="s">
        <v>94</v>
      </c>
      <c r="F79" s="47" t="s">
        <v>36</v>
      </c>
      <c r="G79" s="3" t="s">
        <v>37</v>
      </c>
      <c r="H79" s="3" t="s">
        <v>42</v>
      </c>
      <c r="I79" s="47" t="s">
        <v>38</v>
      </c>
      <c r="J79" s="3" t="s">
        <v>39</v>
      </c>
      <c r="K79" s="5">
        <f>8477000*1.18</f>
        <v>10002860</v>
      </c>
      <c r="L79" s="47" t="s">
        <v>245</v>
      </c>
      <c r="M79" s="47" t="s">
        <v>246</v>
      </c>
      <c r="N79" s="3" t="s">
        <v>43</v>
      </c>
      <c r="O79" s="84" t="s">
        <v>41</v>
      </c>
      <c r="P79" s="84"/>
      <c r="Q79" s="84"/>
      <c r="R79" s="84"/>
      <c r="S79" s="84"/>
      <c r="T79" s="84"/>
      <c r="U79" s="84"/>
      <c r="V79" s="84"/>
    </row>
    <row r="80" spans="1:22" s="46" customFormat="1" ht="72">
      <c r="A80" s="72" t="s">
        <v>205</v>
      </c>
      <c r="B80" s="3" t="s">
        <v>34</v>
      </c>
      <c r="C80" s="47" t="s">
        <v>72</v>
      </c>
      <c r="D80" s="4" t="s">
        <v>151</v>
      </c>
      <c r="E80" s="3" t="s">
        <v>92</v>
      </c>
      <c r="F80" s="47" t="s">
        <v>36</v>
      </c>
      <c r="G80" s="3" t="s">
        <v>37</v>
      </c>
      <c r="H80" s="3" t="s">
        <v>42</v>
      </c>
      <c r="I80" s="47" t="s">
        <v>38</v>
      </c>
      <c r="J80" s="3" t="s">
        <v>39</v>
      </c>
      <c r="K80" s="5">
        <f>(1305000+90000)*1.18</f>
        <v>1646100</v>
      </c>
      <c r="L80" s="47" t="s">
        <v>245</v>
      </c>
      <c r="M80" s="3" t="s">
        <v>249</v>
      </c>
      <c r="N80" s="3" t="s">
        <v>43</v>
      </c>
      <c r="O80" s="84" t="s">
        <v>41</v>
      </c>
      <c r="P80" s="84"/>
      <c r="Q80" s="84"/>
      <c r="R80" s="84"/>
      <c r="S80" s="84"/>
      <c r="T80" s="84"/>
      <c r="U80" s="84"/>
      <c r="V80" s="84"/>
    </row>
    <row r="81" spans="1:53" s="46" customFormat="1" ht="72">
      <c r="A81" s="72" t="s">
        <v>206</v>
      </c>
      <c r="B81" s="3" t="s">
        <v>34</v>
      </c>
      <c r="C81" s="47" t="s">
        <v>72</v>
      </c>
      <c r="D81" s="4" t="s">
        <v>176</v>
      </c>
      <c r="E81" s="3" t="s">
        <v>94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5">
        <f>373000*1.18</f>
        <v>440140</v>
      </c>
      <c r="L81" s="47" t="s">
        <v>245</v>
      </c>
      <c r="M81" s="47" t="s">
        <v>246</v>
      </c>
      <c r="N81" s="3" t="s">
        <v>43</v>
      </c>
      <c r="O81" s="81" t="s">
        <v>41</v>
      </c>
      <c r="P81" s="107"/>
      <c r="Q81" s="107"/>
      <c r="R81" s="107"/>
      <c r="S81" s="107"/>
      <c r="T81" s="107"/>
      <c r="U81" s="107"/>
      <c r="V81" s="108"/>
      <c r="AE81" s="79">
        <f>SUM(K47+K60+K88+K128+K138)</f>
        <v>1997918935.2614</v>
      </c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22" s="46" customFormat="1" ht="72">
      <c r="A82" s="72" t="s">
        <v>207</v>
      </c>
      <c r="B82" s="3" t="s">
        <v>34</v>
      </c>
      <c r="C82" s="47" t="s">
        <v>72</v>
      </c>
      <c r="D82" s="7" t="s">
        <v>194</v>
      </c>
      <c r="E82" s="3" t="s">
        <v>95</v>
      </c>
      <c r="F82" s="47" t="s">
        <v>36</v>
      </c>
      <c r="G82" s="3" t="s">
        <v>37</v>
      </c>
      <c r="H82" s="3" t="s">
        <v>42</v>
      </c>
      <c r="I82" s="47" t="s">
        <v>38</v>
      </c>
      <c r="J82" s="3" t="s">
        <v>39</v>
      </c>
      <c r="K82" s="5">
        <f>2054000*1.18</f>
        <v>2423720</v>
      </c>
      <c r="L82" s="47" t="s">
        <v>245</v>
      </c>
      <c r="M82" s="47" t="s">
        <v>246</v>
      </c>
      <c r="N82" s="3" t="s">
        <v>43</v>
      </c>
      <c r="O82" s="84" t="s">
        <v>41</v>
      </c>
      <c r="P82" s="84"/>
      <c r="Q82" s="84"/>
      <c r="R82" s="84"/>
      <c r="S82" s="84"/>
      <c r="T82" s="84"/>
      <c r="U82" s="84"/>
      <c r="V82" s="84"/>
    </row>
    <row r="83" spans="1:22" s="46" customFormat="1" ht="72">
      <c r="A83" s="72" t="s">
        <v>208</v>
      </c>
      <c r="B83" s="3" t="s">
        <v>34</v>
      </c>
      <c r="C83" s="47" t="s">
        <v>72</v>
      </c>
      <c r="D83" s="4" t="s">
        <v>129</v>
      </c>
      <c r="E83" s="3" t="s">
        <v>94</v>
      </c>
      <c r="F83" s="47" t="s">
        <v>36</v>
      </c>
      <c r="G83" s="3" t="s">
        <v>37</v>
      </c>
      <c r="H83" s="3" t="s">
        <v>42</v>
      </c>
      <c r="I83" s="47" t="s">
        <v>38</v>
      </c>
      <c r="J83" s="3" t="s">
        <v>39</v>
      </c>
      <c r="K83" s="5">
        <f>1750000*1.18</f>
        <v>2065000</v>
      </c>
      <c r="L83" s="47" t="s">
        <v>246</v>
      </c>
      <c r="M83" s="3" t="s">
        <v>249</v>
      </c>
      <c r="N83" s="3" t="s">
        <v>43</v>
      </c>
      <c r="O83" s="84" t="s">
        <v>41</v>
      </c>
      <c r="P83" s="84"/>
      <c r="Q83" s="84"/>
      <c r="R83" s="84"/>
      <c r="S83" s="84"/>
      <c r="T83" s="84"/>
      <c r="U83" s="84"/>
      <c r="V83" s="84"/>
    </row>
    <row r="84" spans="1:22" s="46" customFormat="1" ht="72">
      <c r="A84" s="72" t="s">
        <v>209</v>
      </c>
      <c r="B84" s="3" t="s">
        <v>34</v>
      </c>
      <c r="C84" s="47" t="s">
        <v>72</v>
      </c>
      <c r="D84" s="4" t="s">
        <v>155</v>
      </c>
      <c r="E84" s="3" t="s">
        <v>92</v>
      </c>
      <c r="F84" s="47" t="s">
        <v>36</v>
      </c>
      <c r="G84" s="3" t="s">
        <v>37</v>
      </c>
      <c r="H84" s="3" t="s">
        <v>42</v>
      </c>
      <c r="I84" s="47" t="s">
        <v>38</v>
      </c>
      <c r="J84" s="3" t="s">
        <v>39</v>
      </c>
      <c r="K84" s="5">
        <f>563000*1.18</f>
        <v>664340</v>
      </c>
      <c r="L84" s="3" t="s">
        <v>250</v>
      </c>
      <c r="M84" s="47" t="s">
        <v>252</v>
      </c>
      <c r="N84" s="3" t="s">
        <v>43</v>
      </c>
      <c r="O84" s="84" t="s">
        <v>41</v>
      </c>
      <c r="P84" s="84"/>
      <c r="Q84" s="84"/>
      <c r="R84" s="84"/>
      <c r="S84" s="84"/>
      <c r="T84" s="84"/>
      <c r="U84" s="84"/>
      <c r="V84" s="84"/>
    </row>
    <row r="85" spans="1:22" s="67" customFormat="1" ht="72">
      <c r="A85" s="72" t="s">
        <v>210</v>
      </c>
      <c r="B85" s="3" t="s">
        <v>34</v>
      </c>
      <c r="C85" s="54" t="s">
        <v>72</v>
      </c>
      <c r="D85" s="4" t="s">
        <v>377</v>
      </c>
      <c r="E85" s="3" t="s">
        <v>94</v>
      </c>
      <c r="F85" s="54" t="s">
        <v>36</v>
      </c>
      <c r="G85" s="3" t="s">
        <v>37</v>
      </c>
      <c r="H85" s="3" t="s">
        <v>42</v>
      </c>
      <c r="I85" s="54" t="s">
        <v>38</v>
      </c>
      <c r="J85" s="3" t="s">
        <v>39</v>
      </c>
      <c r="K85" s="5">
        <v>484741.42</v>
      </c>
      <c r="L85" s="3" t="s">
        <v>250</v>
      </c>
      <c r="M85" s="3" t="s">
        <v>252</v>
      </c>
      <c r="N85" s="3" t="s">
        <v>43</v>
      </c>
      <c r="O85" s="84" t="s">
        <v>41</v>
      </c>
      <c r="P85" s="84"/>
      <c r="Q85" s="84"/>
      <c r="R85" s="84"/>
      <c r="S85" s="84"/>
      <c r="T85" s="84"/>
      <c r="U85" s="84"/>
      <c r="V85" s="84"/>
    </row>
    <row r="86" spans="1:22" s="46" customFormat="1" ht="72">
      <c r="A86" s="72" t="s">
        <v>211</v>
      </c>
      <c r="B86" s="3" t="s">
        <v>34</v>
      </c>
      <c r="C86" s="47" t="s">
        <v>72</v>
      </c>
      <c r="D86" s="4" t="s">
        <v>134</v>
      </c>
      <c r="E86" s="3" t="s">
        <v>94</v>
      </c>
      <c r="F86" s="47" t="s">
        <v>131</v>
      </c>
      <c r="G86" s="3" t="s">
        <v>132</v>
      </c>
      <c r="H86" s="3" t="s">
        <v>122</v>
      </c>
      <c r="I86" s="47" t="s">
        <v>38</v>
      </c>
      <c r="J86" s="3" t="s">
        <v>39</v>
      </c>
      <c r="K86" s="5">
        <f>1100000*1.18</f>
        <v>1298000</v>
      </c>
      <c r="L86" s="47" t="s">
        <v>250</v>
      </c>
      <c r="M86" s="3" t="s">
        <v>252</v>
      </c>
      <c r="N86" s="3" t="s">
        <v>43</v>
      </c>
      <c r="O86" s="84" t="s">
        <v>41</v>
      </c>
      <c r="P86" s="84"/>
      <c r="Q86" s="84"/>
      <c r="R86" s="84"/>
      <c r="S86" s="84"/>
      <c r="T86" s="84"/>
      <c r="U86" s="84"/>
      <c r="V86" s="84"/>
    </row>
    <row r="87" spans="1:22" s="46" customFormat="1" ht="72">
      <c r="A87" s="72" t="s">
        <v>212</v>
      </c>
      <c r="B87" s="3" t="s">
        <v>34</v>
      </c>
      <c r="C87" s="47" t="s">
        <v>72</v>
      </c>
      <c r="D87" s="7" t="s">
        <v>143</v>
      </c>
      <c r="E87" s="3" t="s">
        <v>95</v>
      </c>
      <c r="F87" s="47" t="s">
        <v>131</v>
      </c>
      <c r="G87" s="3" t="s">
        <v>132</v>
      </c>
      <c r="H87" s="3" t="s">
        <v>42</v>
      </c>
      <c r="I87" s="47" t="s">
        <v>38</v>
      </c>
      <c r="J87" s="3" t="s">
        <v>39</v>
      </c>
      <c r="K87" s="5">
        <f>636000*1.18</f>
        <v>750480</v>
      </c>
      <c r="L87" s="72" t="s">
        <v>252</v>
      </c>
      <c r="M87" s="3" t="s">
        <v>379</v>
      </c>
      <c r="N87" s="3" t="s">
        <v>43</v>
      </c>
      <c r="O87" s="84" t="s">
        <v>41</v>
      </c>
      <c r="P87" s="84"/>
      <c r="Q87" s="84"/>
      <c r="R87" s="84"/>
      <c r="S87" s="84"/>
      <c r="T87" s="84"/>
      <c r="U87" s="84"/>
      <c r="V87" s="84"/>
    </row>
    <row r="88" spans="1:22" s="46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9">
        <f>SUM(K62:K86)</f>
        <v>326107041.42</v>
      </c>
      <c r="L88" s="8"/>
      <c r="M88" s="8"/>
      <c r="N88" s="8"/>
      <c r="O88" s="99"/>
      <c r="P88" s="82"/>
      <c r="Q88" s="82"/>
      <c r="R88" s="82"/>
      <c r="S88" s="82"/>
      <c r="T88" s="82"/>
      <c r="U88" s="82"/>
      <c r="V88" s="83"/>
    </row>
    <row r="89" spans="1:22" s="46" customFormat="1" ht="15">
      <c r="A89" s="109" t="s">
        <v>97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1"/>
    </row>
    <row r="90" spans="1:22" s="46" customFormat="1" ht="72">
      <c r="A90" s="72" t="s">
        <v>213</v>
      </c>
      <c r="B90" s="3" t="s">
        <v>34</v>
      </c>
      <c r="C90" s="47" t="s">
        <v>100</v>
      </c>
      <c r="D90" s="6" t="s">
        <v>101</v>
      </c>
      <c r="E90" s="3" t="s">
        <v>102</v>
      </c>
      <c r="F90" s="47" t="s">
        <v>36</v>
      </c>
      <c r="G90" s="3" t="s">
        <v>37</v>
      </c>
      <c r="H90" s="47" t="s">
        <v>30</v>
      </c>
      <c r="I90" s="47" t="s">
        <v>38</v>
      </c>
      <c r="J90" s="3" t="s">
        <v>39</v>
      </c>
      <c r="K90" s="5">
        <f>111125054.17*1.18</f>
        <v>131127563.9206</v>
      </c>
      <c r="L90" s="3" t="s">
        <v>247</v>
      </c>
      <c r="M90" s="3" t="s">
        <v>193</v>
      </c>
      <c r="N90" s="3" t="s">
        <v>51</v>
      </c>
      <c r="O90" s="84" t="s">
        <v>41</v>
      </c>
      <c r="P90" s="84"/>
      <c r="Q90" s="84"/>
      <c r="R90" s="84"/>
      <c r="S90" s="84"/>
      <c r="T90" s="84"/>
      <c r="U90" s="84"/>
      <c r="V90" s="84"/>
    </row>
    <row r="91" spans="1:22" s="46" customFormat="1" ht="72">
      <c r="A91" s="72" t="s">
        <v>214</v>
      </c>
      <c r="B91" s="3" t="s">
        <v>34</v>
      </c>
      <c r="C91" s="47" t="s">
        <v>108</v>
      </c>
      <c r="D91" s="6" t="s">
        <v>109</v>
      </c>
      <c r="E91" s="3" t="s">
        <v>102</v>
      </c>
      <c r="F91" s="47" t="s">
        <v>69</v>
      </c>
      <c r="G91" s="3" t="s">
        <v>70</v>
      </c>
      <c r="H91" s="3" t="s">
        <v>42</v>
      </c>
      <c r="I91" s="47" t="s">
        <v>38</v>
      </c>
      <c r="J91" s="3" t="s">
        <v>39</v>
      </c>
      <c r="K91" s="5">
        <f>1126266370*1.18</f>
        <v>1328994316.6</v>
      </c>
      <c r="L91" s="3" t="s">
        <v>247</v>
      </c>
      <c r="M91" s="3" t="s">
        <v>193</v>
      </c>
      <c r="N91" s="3" t="s">
        <v>99</v>
      </c>
      <c r="O91" s="84" t="s">
        <v>41</v>
      </c>
      <c r="P91" s="84"/>
      <c r="Q91" s="84"/>
      <c r="R91" s="84"/>
      <c r="S91" s="84"/>
      <c r="T91" s="84"/>
      <c r="U91" s="84"/>
      <c r="V91" s="84"/>
    </row>
    <row r="92" spans="1:22" s="46" customFormat="1" ht="72">
      <c r="A92" s="72" t="s">
        <v>215</v>
      </c>
      <c r="B92" s="3" t="s">
        <v>34</v>
      </c>
      <c r="C92" s="47" t="s">
        <v>108</v>
      </c>
      <c r="D92" s="6" t="s">
        <v>346</v>
      </c>
      <c r="E92" s="3" t="s">
        <v>102</v>
      </c>
      <c r="F92" s="47" t="s">
        <v>69</v>
      </c>
      <c r="G92" s="3" t="s">
        <v>70</v>
      </c>
      <c r="H92" s="3" t="s">
        <v>42</v>
      </c>
      <c r="I92" s="47" t="s">
        <v>38</v>
      </c>
      <c r="J92" s="3" t="s">
        <v>39</v>
      </c>
      <c r="K92" s="68">
        <f>(8840976.95+3624042.05)*1.18</f>
        <v>14708722.42</v>
      </c>
      <c r="L92" s="3" t="s">
        <v>247</v>
      </c>
      <c r="M92" s="3" t="s">
        <v>193</v>
      </c>
      <c r="N92" s="3" t="s">
        <v>99</v>
      </c>
      <c r="O92" s="84" t="s">
        <v>41</v>
      </c>
      <c r="P92" s="84"/>
      <c r="Q92" s="84"/>
      <c r="R92" s="84"/>
      <c r="S92" s="84"/>
      <c r="T92" s="84"/>
      <c r="U92" s="84"/>
      <c r="V92" s="84"/>
    </row>
    <row r="93" spans="1:22" s="46" customFormat="1" ht="72">
      <c r="A93" s="72" t="s">
        <v>216</v>
      </c>
      <c r="B93" s="3" t="s">
        <v>34</v>
      </c>
      <c r="C93" s="47" t="s">
        <v>103</v>
      </c>
      <c r="D93" s="6" t="s">
        <v>285</v>
      </c>
      <c r="E93" s="3" t="s">
        <v>284</v>
      </c>
      <c r="F93" s="47" t="s">
        <v>36</v>
      </c>
      <c r="G93" s="3" t="s">
        <v>37</v>
      </c>
      <c r="H93" s="3" t="s">
        <v>42</v>
      </c>
      <c r="I93" s="47" t="s">
        <v>38</v>
      </c>
      <c r="J93" s="3" t="s">
        <v>39</v>
      </c>
      <c r="K93" s="5">
        <f>320338.98*1.18</f>
        <v>377999.99639999995</v>
      </c>
      <c r="L93" s="3" t="s">
        <v>247</v>
      </c>
      <c r="M93" s="3" t="s">
        <v>193</v>
      </c>
      <c r="N93" s="3" t="s">
        <v>43</v>
      </c>
      <c r="O93" s="84" t="s">
        <v>41</v>
      </c>
      <c r="P93" s="84"/>
      <c r="Q93" s="84"/>
      <c r="R93" s="84"/>
      <c r="S93" s="84"/>
      <c r="T93" s="84"/>
      <c r="U93" s="84"/>
      <c r="V93" s="84"/>
    </row>
    <row r="94" spans="1:22" s="46" customFormat="1" ht="72">
      <c r="A94" s="72" t="s">
        <v>217</v>
      </c>
      <c r="B94" s="3" t="s">
        <v>34</v>
      </c>
      <c r="C94" s="47">
        <v>2410000</v>
      </c>
      <c r="D94" s="6" t="s">
        <v>286</v>
      </c>
      <c r="E94" s="3" t="s">
        <v>112</v>
      </c>
      <c r="F94" s="47" t="s">
        <v>69</v>
      </c>
      <c r="G94" s="3" t="s">
        <v>70</v>
      </c>
      <c r="H94" s="3" t="s">
        <v>42</v>
      </c>
      <c r="I94" s="47" t="s">
        <v>38</v>
      </c>
      <c r="J94" s="3" t="s">
        <v>39</v>
      </c>
      <c r="K94" s="5">
        <f>171423.66</f>
        <v>171423.66</v>
      </c>
      <c r="L94" s="3" t="s">
        <v>247</v>
      </c>
      <c r="M94" s="3" t="s">
        <v>193</v>
      </c>
      <c r="N94" s="3" t="s">
        <v>49</v>
      </c>
      <c r="O94" s="84" t="s">
        <v>41</v>
      </c>
      <c r="P94" s="84"/>
      <c r="Q94" s="84"/>
      <c r="R94" s="84"/>
      <c r="S94" s="84"/>
      <c r="T94" s="84"/>
      <c r="U94" s="84"/>
      <c r="V94" s="84"/>
    </row>
    <row r="95" spans="1:22" s="46" customFormat="1" ht="72">
      <c r="A95" s="72" t="s">
        <v>218</v>
      </c>
      <c r="B95" s="3" t="s">
        <v>34</v>
      </c>
      <c r="C95" s="47" t="s">
        <v>98</v>
      </c>
      <c r="D95" s="6" t="s">
        <v>287</v>
      </c>
      <c r="E95" s="3" t="s">
        <v>288</v>
      </c>
      <c r="F95" s="47" t="s">
        <v>36</v>
      </c>
      <c r="G95" s="3" t="s">
        <v>37</v>
      </c>
      <c r="H95" s="3" t="s">
        <v>42</v>
      </c>
      <c r="I95" s="47" t="s">
        <v>38</v>
      </c>
      <c r="J95" s="3" t="s">
        <v>39</v>
      </c>
      <c r="K95" s="5">
        <v>939120</v>
      </c>
      <c r="L95" s="3" t="s">
        <v>247</v>
      </c>
      <c r="M95" s="3" t="s">
        <v>193</v>
      </c>
      <c r="N95" s="3" t="s">
        <v>99</v>
      </c>
      <c r="O95" s="84" t="s">
        <v>41</v>
      </c>
      <c r="P95" s="84"/>
      <c r="Q95" s="84"/>
      <c r="R95" s="84"/>
      <c r="S95" s="84"/>
      <c r="T95" s="84"/>
      <c r="U95" s="84"/>
      <c r="V95" s="84"/>
    </row>
    <row r="96" spans="1:22" s="46" customFormat="1" ht="72">
      <c r="A96" s="72" t="s">
        <v>219</v>
      </c>
      <c r="B96" s="3" t="s">
        <v>34</v>
      </c>
      <c r="C96" s="47" t="s">
        <v>103</v>
      </c>
      <c r="D96" s="6" t="s">
        <v>290</v>
      </c>
      <c r="E96" s="3" t="s">
        <v>289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5">
        <v>402500</v>
      </c>
      <c r="L96" s="3" t="s">
        <v>247</v>
      </c>
      <c r="M96" s="3" t="s">
        <v>193</v>
      </c>
      <c r="N96" s="3" t="s">
        <v>43</v>
      </c>
      <c r="O96" s="81" t="s">
        <v>41</v>
      </c>
      <c r="P96" s="82"/>
      <c r="Q96" s="82"/>
      <c r="R96" s="82"/>
      <c r="S96" s="82"/>
      <c r="T96" s="82"/>
      <c r="U96" s="82"/>
      <c r="V96" s="83"/>
    </row>
    <row r="97" spans="1:22" s="46" customFormat="1" ht="72">
      <c r="A97" s="72" t="s">
        <v>220</v>
      </c>
      <c r="B97" s="3" t="s">
        <v>34</v>
      </c>
      <c r="C97" s="47" t="s">
        <v>323</v>
      </c>
      <c r="D97" s="6" t="s">
        <v>296</v>
      </c>
      <c r="E97" s="3" t="s">
        <v>112</v>
      </c>
      <c r="F97" s="47" t="s">
        <v>36</v>
      </c>
      <c r="G97" s="3" t="s">
        <v>37</v>
      </c>
      <c r="H97" s="3" t="s">
        <v>42</v>
      </c>
      <c r="I97" s="47" t="s">
        <v>38</v>
      </c>
      <c r="J97" s="3" t="s">
        <v>39</v>
      </c>
      <c r="K97" s="5">
        <f>2199320*1.18</f>
        <v>2595197.6</v>
      </c>
      <c r="L97" s="3" t="s">
        <v>247</v>
      </c>
      <c r="M97" s="3" t="s">
        <v>193</v>
      </c>
      <c r="N97" s="3" t="s">
        <v>43</v>
      </c>
      <c r="O97" s="81" t="s">
        <v>41</v>
      </c>
      <c r="P97" s="82"/>
      <c r="Q97" s="82"/>
      <c r="R97" s="82"/>
      <c r="S97" s="82"/>
      <c r="T97" s="82"/>
      <c r="U97" s="82"/>
      <c r="V97" s="83"/>
    </row>
    <row r="98" spans="1:22" s="46" customFormat="1" ht="96.75" customHeight="1">
      <c r="A98" s="72" t="s">
        <v>221</v>
      </c>
      <c r="B98" s="3" t="s">
        <v>34</v>
      </c>
      <c r="C98" s="47" t="s">
        <v>323</v>
      </c>
      <c r="D98" s="69" t="s">
        <v>298</v>
      </c>
      <c r="E98" s="3" t="s">
        <v>112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5">
        <f>392725+538003.47+640087.63</f>
        <v>1570816.1</v>
      </c>
      <c r="L98" s="3" t="s">
        <v>247</v>
      </c>
      <c r="M98" s="3" t="s">
        <v>193</v>
      </c>
      <c r="N98" s="3" t="s">
        <v>43</v>
      </c>
      <c r="O98" s="81" t="s">
        <v>41</v>
      </c>
      <c r="P98" s="82"/>
      <c r="Q98" s="82"/>
      <c r="R98" s="82"/>
      <c r="S98" s="82"/>
      <c r="T98" s="82"/>
      <c r="U98" s="82"/>
      <c r="V98" s="83"/>
    </row>
    <row r="99" spans="1:22" s="46" customFormat="1" ht="72">
      <c r="A99" s="72" t="s">
        <v>222</v>
      </c>
      <c r="B99" s="3" t="s">
        <v>34</v>
      </c>
      <c r="C99" s="47" t="s">
        <v>323</v>
      </c>
      <c r="D99" s="6" t="s">
        <v>297</v>
      </c>
      <c r="E99" s="3" t="s">
        <v>112</v>
      </c>
      <c r="F99" s="47" t="s">
        <v>36</v>
      </c>
      <c r="G99" s="3" t="s">
        <v>37</v>
      </c>
      <c r="H99" s="3" t="s">
        <v>42</v>
      </c>
      <c r="I99" s="47" t="s">
        <v>38</v>
      </c>
      <c r="J99" s="3" t="s">
        <v>39</v>
      </c>
      <c r="K99" s="5">
        <v>630000</v>
      </c>
      <c r="L99" s="3" t="s">
        <v>247</v>
      </c>
      <c r="M99" s="3" t="s">
        <v>193</v>
      </c>
      <c r="N99" s="3" t="s">
        <v>43</v>
      </c>
      <c r="O99" s="81" t="s">
        <v>41</v>
      </c>
      <c r="P99" s="82"/>
      <c r="Q99" s="82"/>
      <c r="R99" s="82"/>
      <c r="S99" s="82"/>
      <c r="T99" s="82"/>
      <c r="U99" s="82"/>
      <c r="V99" s="83"/>
    </row>
    <row r="100" spans="1:22" s="46" customFormat="1" ht="72">
      <c r="A100" s="72" t="s">
        <v>223</v>
      </c>
      <c r="B100" s="3" t="s">
        <v>34</v>
      </c>
      <c r="C100" s="47" t="s">
        <v>323</v>
      </c>
      <c r="D100" s="6" t="s">
        <v>299</v>
      </c>
      <c r="E100" s="3" t="s">
        <v>112</v>
      </c>
      <c r="F100" s="47" t="s">
        <v>36</v>
      </c>
      <c r="G100" s="3" t="s">
        <v>37</v>
      </c>
      <c r="H100" s="3" t="s">
        <v>224</v>
      </c>
      <c r="I100" s="47" t="s">
        <v>38</v>
      </c>
      <c r="J100" s="3" t="s">
        <v>39</v>
      </c>
      <c r="K100" s="5">
        <v>153980</v>
      </c>
      <c r="L100" s="3" t="s">
        <v>239</v>
      </c>
      <c r="M100" s="3" t="s">
        <v>331</v>
      </c>
      <c r="N100" s="3" t="s">
        <v>374</v>
      </c>
      <c r="O100" s="81" t="s">
        <v>41</v>
      </c>
      <c r="P100" s="82"/>
      <c r="Q100" s="82"/>
      <c r="R100" s="82"/>
      <c r="S100" s="82"/>
      <c r="T100" s="82"/>
      <c r="U100" s="82"/>
      <c r="V100" s="83"/>
    </row>
    <row r="101" spans="1:22" s="46" customFormat="1" ht="72">
      <c r="A101" s="72" t="s">
        <v>224</v>
      </c>
      <c r="B101" s="3" t="s">
        <v>34</v>
      </c>
      <c r="C101" s="47" t="s">
        <v>98</v>
      </c>
      <c r="D101" s="6" t="s">
        <v>104</v>
      </c>
      <c r="E101" s="3" t="s">
        <v>92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5">
        <f>355300*1.18</f>
        <v>419254</v>
      </c>
      <c r="L101" s="47" t="s">
        <v>247</v>
      </c>
      <c r="M101" s="3" t="s">
        <v>193</v>
      </c>
      <c r="N101" s="3" t="s">
        <v>99</v>
      </c>
      <c r="O101" s="84" t="s">
        <v>41</v>
      </c>
      <c r="P101" s="84"/>
      <c r="Q101" s="84"/>
      <c r="R101" s="84"/>
      <c r="S101" s="84"/>
      <c r="T101" s="84"/>
      <c r="U101" s="84"/>
      <c r="V101" s="84"/>
    </row>
    <row r="102" spans="1:22" s="46" customFormat="1" ht="72">
      <c r="A102" s="72" t="s">
        <v>225</v>
      </c>
      <c r="B102" s="3" t="s">
        <v>34</v>
      </c>
      <c r="C102" s="47" t="s">
        <v>291</v>
      </c>
      <c r="D102" s="4" t="s">
        <v>292</v>
      </c>
      <c r="E102" s="3" t="s">
        <v>112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10">
        <v>348900</v>
      </c>
      <c r="L102" s="47" t="s">
        <v>247</v>
      </c>
      <c r="M102" s="3" t="s">
        <v>293</v>
      </c>
      <c r="N102" s="3" t="s">
        <v>43</v>
      </c>
      <c r="O102" s="81" t="s">
        <v>41</v>
      </c>
      <c r="P102" s="82"/>
      <c r="Q102" s="82"/>
      <c r="R102" s="82"/>
      <c r="S102" s="82"/>
      <c r="T102" s="82"/>
      <c r="U102" s="82"/>
      <c r="V102" s="83"/>
    </row>
    <row r="103" spans="1:22" s="46" customFormat="1" ht="72">
      <c r="A103" s="72" t="s">
        <v>300</v>
      </c>
      <c r="B103" s="3" t="s">
        <v>34</v>
      </c>
      <c r="C103" s="47" t="s">
        <v>344</v>
      </c>
      <c r="D103" s="4" t="s">
        <v>343</v>
      </c>
      <c r="E103" s="3" t="s">
        <v>112</v>
      </c>
      <c r="F103" s="47" t="s">
        <v>36</v>
      </c>
      <c r="G103" s="3" t="s">
        <v>37</v>
      </c>
      <c r="H103" s="3" t="s">
        <v>42</v>
      </c>
      <c r="I103" s="47" t="s">
        <v>38</v>
      </c>
      <c r="J103" s="3" t="s">
        <v>39</v>
      </c>
      <c r="K103" s="10">
        <v>864000</v>
      </c>
      <c r="L103" s="47" t="s">
        <v>247</v>
      </c>
      <c r="M103" s="3" t="s">
        <v>193</v>
      </c>
      <c r="N103" s="3" t="s">
        <v>99</v>
      </c>
      <c r="O103" s="84" t="s">
        <v>41</v>
      </c>
      <c r="P103" s="84"/>
      <c r="Q103" s="84"/>
      <c r="R103" s="84"/>
      <c r="S103" s="84"/>
      <c r="T103" s="84"/>
      <c r="U103" s="84"/>
      <c r="V103" s="84"/>
    </row>
    <row r="104" spans="1:22" s="46" customFormat="1" ht="72">
      <c r="A104" s="72" t="s">
        <v>301</v>
      </c>
      <c r="B104" s="3" t="s">
        <v>34</v>
      </c>
      <c r="C104" s="47" t="s">
        <v>352</v>
      </c>
      <c r="D104" s="6" t="s">
        <v>353</v>
      </c>
      <c r="E104" s="3" t="s">
        <v>92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10">
        <f>3850046.29*1.18</f>
        <v>4543054.6222</v>
      </c>
      <c r="L104" s="47" t="s">
        <v>247</v>
      </c>
      <c r="M104" s="3" t="s">
        <v>193</v>
      </c>
      <c r="N104" s="3" t="s">
        <v>99</v>
      </c>
      <c r="O104" s="84" t="s">
        <v>41</v>
      </c>
      <c r="P104" s="84"/>
      <c r="Q104" s="84"/>
      <c r="R104" s="84"/>
      <c r="S104" s="84"/>
      <c r="T104" s="84"/>
      <c r="U104" s="84"/>
      <c r="V104" s="84"/>
    </row>
    <row r="105" spans="1:22" s="46" customFormat="1" ht="72">
      <c r="A105" s="72" t="s">
        <v>302</v>
      </c>
      <c r="B105" s="3" t="s">
        <v>34</v>
      </c>
      <c r="C105" s="47" t="s">
        <v>354</v>
      </c>
      <c r="D105" s="6" t="s">
        <v>355</v>
      </c>
      <c r="E105" s="3" t="s">
        <v>356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10">
        <f>788630.66*1.18</f>
        <v>930584.1788</v>
      </c>
      <c r="L105" s="47" t="s">
        <v>247</v>
      </c>
      <c r="M105" s="3" t="s">
        <v>193</v>
      </c>
      <c r="N105" s="3" t="s">
        <v>99</v>
      </c>
      <c r="O105" s="84" t="s">
        <v>41</v>
      </c>
      <c r="P105" s="84"/>
      <c r="Q105" s="84"/>
      <c r="R105" s="84"/>
      <c r="S105" s="84"/>
      <c r="T105" s="84"/>
      <c r="U105" s="84"/>
      <c r="V105" s="84"/>
    </row>
    <row r="106" spans="1:22" s="46" customFormat="1" ht="72">
      <c r="A106" s="72" t="s">
        <v>303</v>
      </c>
      <c r="B106" s="3" t="s">
        <v>34</v>
      </c>
      <c r="C106" s="47"/>
      <c r="D106" s="6" t="s">
        <v>370</v>
      </c>
      <c r="E106" s="3" t="s">
        <v>107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10">
        <f>579600*1.18</f>
        <v>683928</v>
      </c>
      <c r="L106" s="47" t="s">
        <v>247</v>
      </c>
      <c r="M106" s="3" t="s">
        <v>193</v>
      </c>
      <c r="N106" s="3" t="s">
        <v>99</v>
      </c>
      <c r="O106" s="84" t="s">
        <v>41</v>
      </c>
      <c r="P106" s="84"/>
      <c r="Q106" s="84"/>
      <c r="R106" s="84"/>
      <c r="S106" s="84"/>
      <c r="T106" s="84"/>
      <c r="U106" s="84"/>
      <c r="V106" s="84"/>
    </row>
    <row r="107" spans="1:22" s="46" customFormat="1" ht="72">
      <c r="A107" s="72" t="s">
        <v>304</v>
      </c>
      <c r="B107" s="3" t="s">
        <v>34</v>
      </c>
      <c r="C107" s="47" t="s">
        <v>72</v>
      </c>
      <c r="D107" s="4" t="s">
        <v>168</v>
      </c>
      <c r="E107" s="3" t="s">
        <v>112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10">
        <f>3663000*1.18</f>
        <v>4322340</v>
      </c>
      <c r="L107" s="3" t="s">
        <v>235</v>
      </c>
      <c r="M107" s="3" t="s">
        <v>251</v>
      </c>
      <c r="N107" s="3" t="s">
        <v>43</v>
      </c>
      <c r="O107" s="81" t="s">
        <v>41</v>
      </c>
      <c r="P107" s="82"/>
      <c r="Q107" s="82"/>
      <c r="R107" s="82"/>
      <c r="S107" s="82"/>
      <c r="T107" s="82"/>
      <c r="U107" s="82"/>
      <c r="V107" s="83"/>
    </row>
    <row r="108" spans="1:22" s="46" customFormat="1" ht="72">
      <c r="A108" s="72" t="s">
        <v>305</v>
      </c>
      <c r="B108" s="3" t="s">
        <v>34</v>
      </c>
      <c r="C108" s="47"/>
      <c r="D108" s="6" t="s">
        <v>295</v>
      </c>
      <c r="E108" s="3" t="s">
        <v>294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10">
        <v>528824.76</v>
      </c>
      <c r="L108" s="3" t="s">
        <v>235</v>
      </c>
      <c r="M108" s="3" t="s">
        <v>293</v>
      </c>
      <c r="N108" s="3" t="s">
        <v>43</v>
      </c>
      <c r="O108" s="81" t="s">
        <v>41</v>
      </c>
      <c r="P108" s="82"/>
      <c r="Q108" s="82"/>
      <c r="R108" s="82"/>
      <c r="S108" s="82"/>
      <c r="T108" s="82"/>
      <c r="U108" s="82"/>
      <c r="V108" s="83"/>
    </row>
    <row r="109" spans="1:22" s="46" customFormat="1" ht="72">
      <c r="A109" s="72" t="s">
        <v>306</v>
      </c>
      <c r="B109" s="3" t="s">
        <v>34</v>
      </c>
      <c r="C109" s="47" t="s">
        <v>326</v>
      </c>
      <c r="D109" s="6" t="s">
        <v>327</v>
      </c>
      <c r="E109" s="3" t="s">
        <v>107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10">
        <v>793516.84</v>
      </c>
      <c r="L109" s="3" t="s">
        <v>235</v>
      </c>
      <c r="M109" s="3" t="s">
        <v>332</v>
      </c>
      <c r="N109" s="3" t="s">
        <v>43</v>
      </c>
      <c r="O109" s="81" t="s">
        <v>41</v>
      </c>
      <c r="P109" s="82"/>
      <c r="Q109" s="82"/>
      <c r="R109" s="82"/>
      <c r="S109" s="82"/>
      <c r="T109" s="82"/>
      <c r="U109" s="82"/>
      <c r="V109" s="83"/>
    </row>
    <row r="110" spans="1:22" s="46" customFormat="1" ht="84">
      <c r="A110" s="72" t="s">
        <v>307</v>
      </c>
      <c r="B110" s="3" t="s">
        <v>34</v>
      </c>
      <c r="C110" s="47" t="s">
        <v>357</v>
      </c>
      <c r="D110" s="6" t="s">
        <v>358</v>
      </c>
      <c r="E110" s="3" t="s">
        <v>359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10">
        <f>188785.96*1.18</f>
        <v>222767.43279999998</v>
      </c>
      <c r="L110" s="3" t="s">
        <v>235</v>
      </c>
      <c r="M110" s="3" t="s">
        <v>332</v>
      </c>
      <c r="N110" s="3" t="s">
        <v>43</v>
      </c>
      <c r="O110" s="81" t="s">
        <v>41</v>
      </c>
      <c r="P110" s="82"/>
      <c r="Q110" s="82"/>
      <c r="R110" s="82"/>
      <c r="S110" s="82"/>
      <c r="T110" s="82"/>
      <c r="U110" s="82"/>
      <c r="V110" s="83"/>
    </row>
    <row r="111" spans="1:22" s="46" customFormat="1" ht="72">
      <c r="A111" s="72" t="s">
        <v>308</v>
      </c>
      <c r="B111" s="3" t="s">
        <v>34</v>
      </c>
      <c r="C111" s="47" t="s">
        <v>103</v>
      </c>
      <c r="D111" s="6" t="s">
        <v>361</v>
      </c>
      <c r="E111" s="3" t="s">
        <v>356</v>
      </c>
      <c r="F111" s="47" t="s">
        <v>36</v>
      </c>
      <c r="G111" s="3" t="s">
        <v>37</v>
      </c>
      <c r="H111" s="3" t="s">
        <v>42</v>
      </c>
      <c r="I111" s="47" t="s">
        <v>38</v>
      </c>
      <c r="J111" s="3" t="s">
        <v>39</v>
      </c>
      <c r="K111" s="10">
        <f>302078.93*1.18</f>
        <v>356453.13739999995</v>
      </c>
      <c r="L111" s="3" t="s">
        <v>235</v>
      </c>
      <c r="M111" s="3" t="s">
        <v>332</v>
      </c>
      <c r="N111" s="3" t="s">
        <v>49</v>
      </c>
      <c r="O111" s="81" t="s">
        <v>41</v>
      </c>
      <c r="P111" s="82"/>
      <c r="Q111" s="82"/>
      <c r="R111" s="82"/>
      <c r="S111" s="82"/>
      <c r="T111" s="82"/>
      <c r="U111" s="82"/>
      <c r="V111" s="83"/>
    </row>
    <row r="112" spans="1:22" s="46" customFormat="1" ht="24">
      <c r="A112" s="72" t="s">
        <v>309</v>
      </c>
      <c r="B112" s="47" t="s">
        <v>328</v>
      </c>
      <c r="C112" s="47" t="s">
        <v>329</v>
      </c>
      <c r="D112" s="6" t="s">
        <v>330</v>
      </c>
      <c r="E112" s="3" t="s">
        <v>186</v>
      </c>
      <c r="F112" s="47" t="s">
        <v>36</v>
      </c>
      <c r="G112" s="3" t="s">
        <v>37</v>
      </c>
      <c r="H112" s="47" t="s">
        <v>30</v>
      </c>
      <c r="I112" s="47" t="s">
        <v>38</v>
      </c>
      <c r="J112" s="3" t="s">
        <v>39</v>
      </c>
      <c r="K112" s="10">
        <f>1651581.39*1.18</f>
        <v>1948866.0401999997</v>
      </c>
      <c r="L112" s="3" t="s">
        <v>239</v>
      </c>
      <c r="M112" s="3" t="s">
        <v>331</v>
      </c>
      <c r="N112" s="3" t="s">
        <v>43</v>
      </c>
      <c r="O112" s="81" t="s">
        <v>41</v>
      </c>
      <c r="P112" s="82"/>
      <c r="Q112" s="82"/>
      <c r="R112" s="82"/>
      <c r="S112" s="82"/>
      <c r="T112" s="82"/>
      <c r="U112" s="82"/>
      <c r="V112" s="83"/>
    </row>
    <row r="113" spans="1:22" s="46" customFormat="1" ht="72">
      <c r="A113" s="72" t="s">
        <v>310</v>
      </c>
      <c r="B113" s="3" t="s">
        <v>34</v>
      </c>
      <c r="C113" s="47" t="s">
        <v>72</v>
      </c>
      <c r="D113" s="4" t="s">
        <v>169</v>
      </c>
      <c r="E113" s="3" t="s">
        <v>112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10">
        <f>190000*1.18</f>
        <v>224200</v>
      </c>
      <c r="L113" s="3" t="s">
        <v>239</v>
      </c>
      <c r="M113" s="3" t="s">
        <v>237</v>
      </c>
      <c r="N113" s="3" t="s">
        <v>43</v>
      </c>
      <c r="O113" s="81" t="s">
        <v>41</v>
      </c>
      <c r="P113" s="82"/>
      <c r="Q113" s="82"/>
      <c r="R113" s="82"/>
      <c r="S113" s="82"/>
      <c r="T113" s="82"/>
      <c r="U113" s="82"/>
      <c r="V113" s="83"/>
    </row>
    <row r="114" spans="1:22" s="46" customFormat="1" ht="72">
      <c r="A114" s="72" t="s">
        <v>311</v>
      </c>
      <c r="B114" s="3" t="s">
        <v>34</v>
      </c>
      <c r="C114" s="47" t="s">
        <v>103</v>
      </c>
      <c r="D114" s="4" t="s">
        <v>180</v>
      </c>
      <c r="E114" s="3" t="s">
        <v>112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10">
        <f>200000*1.18</f>
        <v>236000</v>
      </c>
      <c r="L114" s="3" t="s">
        <v>239</v>
      </c>
      <c r="M114" s="3" t="s">
        <v>237</v>
      </c>
      <c r="N114" s="3" t="s">
        <v>49</v>
      </c>
      <c r="O114" s="81" t="s">
        <v>41</v>
      </c>
      <c r="P114" s="82"/>
      <c r="Q114" s="82"/>
      <c r="R114" s="82"/>
      <c r="S114" s="82"/>
      <c r="T114" s="82"/>
      <c r="U114" s="82"/>
      <c r="V114" s="83"/>
    </row>
    <row r="115" spans="1:22" s="46" customFormat="1" ht="72">
      <c r="A115" s="72" t="s">
        <v>312</v>
      </c>
      <c r="B115" s="3" t="s">
        <v>34</v>
      </c>
      <c r="C115" s="47" t="s">
        <v>347</v>
      </c>
      <c r="D115" s="4" t="s">
        <v>348</v>
      </c>
      <c r="E115" s="3" t="s">
        <v>112</v>
      </c>
      <c r="F115" s="47" t="s">
        <v>36</v>
      </c>
      <c r="G115" s="3" t="s">
        <v>37</v>
      </c>
      <c r="H115" s="3" t="s">
        <v>42</v>
      </c>
      <c r="I115" s="47" t="s">
        <v>38</v>
      </c>
      <c r="J115" s="3" t="s">
        <v>39</v>
      </c>
      <c r="K115" s="10">
        <f>616400*1.18</f>
        <v>727352</v>
      </c>
      <c r="L115" s="3" t="s">
        <v>239</v>
      </c>
      <c r="M115" s="3" t="s">
        <v>237</v>
      </c>
      <c r="N115" s="3" t="s">
        <v>43</v>
      </c>
      <c r="O115" s="81" t="s">
        <v>41</v>
      </c>
      <c r="P115" s="82"/>
      <c r="Q115" s="82"/>
      <c r="R115" s="82"/>
      <c r="S115" s="82"/>
      <c r="T115" s="82"/>
      <c r="U115" s="82"/>
      <c r="V115" s="83"/>
    </row>
    <row r="116" spans="1:22" s="46" customFormat="1" ht="72">
      <c r="A116" s="72" t="s">
        <v>313</v>
      </c>
      <c r="B116" s="3" t="s">
        <v>34</v>
      </c>
      <c r="C116" s="47" t="s">
        <v>347</v>
      </c>
      <c r="D116" s="4" t="s">
        <v>349</v>
      </c>
      <c r="E116" s="3" t="s">
        <v>112</v>
      </c>
      <c r="F116" s="47" t="s">
        <v>36</v>
      </c>
      <c r="G116" s="3" t="s">
        <v>37</v>
      </c>
      <c r="H116" s="3" t="s">
        <v>42</v>
      </c>
      <c r="I116" s="47" t="s">
        <v>38</v>
      </c>
      <c r="J116" s="3" t="s">
        <v>39</v>
      </c>
      <c r="K116" s="10">
        <f>409609.86*1.18</f>
        <v>483339.63479999994</v>
      </c>
      <c r="L116" s="3" t="s">
        <v>239</v>
      </c>
      <c r="M116" s="3" t="s">
        <v>237</v>
      </c>
      <c r="N116" s="3" t="s">
        <v>43</v>
      </c>
      <c r="O116" s="81" t="s">
        <v>41</v>
      </c>
      <c r="P116" s="82"/>
      <c r="Q116" s="82"/>
      <c r="R116" s="82"/>
      <c r="S116" s="82"/>
      <c r="T116" s="82"/>
      <c r="U116" s="82"/>
      <c r="V116" s="83"/>
    </row>
    <row r="117" spans="1:22" s="46" customFormat="1" ht="72">
      <c r="A117" s="72" t="s">
        <v>314</v>
      </c>
      <c r="B117" s="3" t="s">
        <v>34</v>
      </c>
      <c r="C117" s="47" t="s">
        <v>291</v>
      </c>
      <c r="D117" s="4" t="s">
        <v>342</v>
      </c>
      <c r="E117" s="3" t="s">
        <v>107</v>
      </c>
      <c r="F117" s="47" t="s">
        <v>36</v>
      </c>
      <c r="G117" s="3" t="s">
        <v>37</v>
      </c>
      <c r="H117" s="3" t="s">
        <v>42</v>
      </c>
      <c r="I117" s="47" t="s">
        <v>38</v>
      </c>
      <c r="J117" s="3" t="s">
        <v>39</v>
      </c>
      <c r="K117" s="10">
        <f>828000*1.18</f>
        <v>977040</v>
      </c>
      <c r="L117" s="47" t="s">
        <v>239</v>
      </c>
      <c r="M117" s="3" t="s">
        <v>371</v>
      </c>
      <c r="N117" s="3" t="s">
        <v>43</v>
      </c>
      <c r="O117" s="84" t="s">
        <v>41</v>
      </c>
      <c r="P117" s="84"/>
      <c r="Q117" s="84"/>
      <c r="R117" s="84"/>
      <c r="S117" s="84"/>
      <c r="T117" s="84"/>
      <c r="U117" s="84"/>
      <c r="V117" s="84"/>
    </row>
    <row r="118" spans="1:22" s="46" customFormat="1" ht="72">
      <c r="A118" s="72" t="s">
        <v>315</v>
      </c>
      <c r="B118" s="3" t="s">
        <v>34</v>
      </c>
      <c r="C118" s="47">
        <v>8531000</v>
      </c>
      <c r="D118" s="70" t="s">
        <v>372</v>
      </c>
      <c r="E118" s="3" t="s">
        <v>112</v>
      </c>
      <c r="F118" s="3">
        <v>796</v>
      </c>
      <c r="G118" s="3" t="s">
        <v>37</v>
      </c>
      <c r="H118" s="3" t="s">
        <v>42</v>
      </c>
      <c r="I118" s="47" t="s">
        <v>38</v>
      </c>
      <c r="J118" s="3" t="s">
        <v>39</v>
      </c>
      <c r="K118" s="5">
        <v>4500000</v>
      </c>
      <c r="L118" s="47" t="s">
        <v>239</v>
      </c>
      <c r="M118" s="3" t="s">
        <v>373</v>
      </c>
      <c r="N118" s="3" t="s">
        <v>43</v>
      </c>
      <c r="O118" s="84" t="s">
        <v>41</v>
      </c>
      <c r="P118" s="84"/>
      <c r="Q118" s="84"/>
      <c r="R118" s="84"/>
      <c r="S118" s="84"/>
      <c r="T118" s="84"/>
      <c r="U118" s="84"/>
      <c r="V118" s="84"/>
    </row>
    <row r="119" spans="1:22" s="46" customFormat="1" ht="72">
      <c r="A119" s="72" t="s">
        <v>316</v>
      </c>
      <c r="B119" s="3" t="s">
        <v>34</v>
      </c>
      <c r="C119" s="47" t="s">
        <v>72</v>
      </c>
      <c r="D119" s="4" t="s">
        <v>350</v>
      </c>
      <c r="E119" s="3" t="s">
        <v>351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10">
        <f>647125.49*1.18</f>
        <v>763608.0782</v>
      </c>
      <c r="L119" s="3" t="s">
        <v>237</v>
      </c>
      <c r="M119" s="3" t="s">
        <v>245</v>
      </c>
      <c r="N119" s="3" t="s">
        <v>43</v>
      </c>
      <c r="O119" s="81" t="s">
        <v>41</v>
      </c>
      <c r="P119" s="82"/>
      <c r="Q119" s="82"/>
      <c r="R119" s="82"/>
      <c r="S119" s="82"/>
      <c r="T119" s="82"/>
      <c r="U119" s="82"/>
      <c r="V119" s="83"/>
    </row>
    <row r="120" spans="1:22" s="46" customFormat="1" ht="72">
      <c r="A120" s="72" t="s">
        <v>317</v>
      </c>
      <c r="B120" s="3" t="s">
        <v>34</v>
      </c>
      <c r="C120" s="47" t="s">
        <v>347</v>
      </c>
      <c r="D120" s="4" t="s">
        <v>360</v>
      </c>
      <c r="E120" s="3" t="s">
        <v>112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10">
        <f>193148.28</f>
        <v>193148.28</v>
      </c>
      <c r="L120" s="3" t="s">
        <v>237</v>
      </c>
      <c r="M120" s="3" t="s">
        <v>245</v>
      </c>
      <c r="N120" s="3" t="s">
        <v>49</v>
      </c>
      <c r="O120" s="48" t="s">
        <v>41</v>
      </c>
      <c r="P120" s="51"/>
      <c r="Q120" s="51"/>
      <c r="R120" s="51"/>
      <c r="S120" s="51"/>
      <c r="T120" s="51"/>
      <c r="U120" s="51"/>
      <c r="V120" s="52"/>
    </row>
    <row r="121" spans="1:22" s="46" customFormat="1" ht="72">
      <c r="A121" s="72" t="s">
        <v>318</v>
      </c>
      <c r="B121" s="3" t="s">
        <v>34</v>
      </c>
      <c r="C121" s="47" t="s">
        <v>103</v>
      </c>
      <c r="D121" s="6" t="s">
        <v>187</v>
      </c>
      <c r="E121" s="3" t="s">
        <v>186</v>
      </c>
      <c r="F121" s="47" t="s">
        <v>36</v>
      </c>
      <c r="G121" s="3" t="s">
        <v>37</v>
      </c>
      <c r="H121" s="3" t="s">
        <v>42</v>
      </c>
      <c r="I121" s="47" t="s">
        <v>38</v>
      </c>
      <c r="J121" s="3" t="s">
        <v>39</v>
      </c>
      <c r="K121" s="5">
        <f>1021400*1.18</f>
        <v>1205252</v>
      </c>
      <c r="L121" s="47" t="s">
        <v>246</v>
      </c>
      <c r="M121" s="3" t="s">
        <v>250</v>
      </c>
      <c r="N121" s="3" t="s">
        <v>43</v>
      </c>
      <c r="O121" s="84" t="s">
        <v>41</v>
      </c>
      <c r="P121" s="84"/>
      <c r="Q121" s="84"/>
      <c r="R121" s="84"/>
      <c r="S121" s="84"/>
      <c r="T121" s="84"/>
      <c r="U121" s="84"/>
      <c r="V121" s="84"/>
    </row>
    <row r="122" spans="1:22" s="74" customFormat="1" ht="72">
      <c r="A122" s="78" t="s">
        <v>319</v>
      </c>
      <c r="B122" s="3" t="s">
        <v>34</v>
      </c>
      <c r="C122" s="72" t="s">
        <v>380</v>
      </c>
      <c r="D122" s="6" t="s">
        <v>381</v>
      </c>
      <c r="E122" s="3" t="s">
        <v>382</v>
      </c>
      <c r="F122" s="72" t="s">
        <v>36</v>
      </c>
      <c r="G122" s="3" t="s">
        <v>37</v>
      </c>
      <c r="H122" s="3" t="s">
        <v>42</v>
      </c>
      <c r="I122" s="72" t="s">
        <v>38</v>
      </c>
      <c r="J122" s="3" t="s">
        <v>39</v>
      </c>
      <c r="K122" s="5">
        <v>8000000</v>
      </c>
      <c r="L122" s="72" t="s">
        <v>252</v>
      </c>
      <c r="M122" s="3" t="s">
        <v>383</v>
      </c>
      <c r="N122" s="3" t="s">
        <v>43</v>
      </c>
      <c r="O122" s="84" t="s">
        <v>41</v>
      </c>
      <c r="P122" s="91"/>
      <c r="Q122" s="91"/>
      <c r="R122" s="91"/>
      <c r="S122" s="91"/>
      <c r="T122" s="91"/>
      <c r="U122" s="91"/>
      <c r="V122" s="91"/>
    </row>
    <row r="123" spans="1:22" s="75" customFormat="1" ht="72">
      <c r="A123" s="78" t="s">
        <v>320</v>
      </c>
      <c r="B123" s="3" t="s">
        <v>34</v>
      </c>
      <c r="C123" s="76" t="s">
        <v>291</v>
      </c>
      <c r="D123" s="6" t="s">
        <v>387</v>
      </c>
      <c r="E123" s="3" t="s">
        <v>107</v>
      </c>
      <c r="F123" s="76" t="s">
        <v>36</v>
      </c>
      <c r="G123" s="3" t="s">
        <v>37</v>
      </c>
      <c r="H123" s="3" t="s">
        <v>42</v>
      </c>
      <c r="I123" s="76" t="s">
        <v>38</v>
      </c>
      <c r="J123" s="3" t="s">
        <v>39</v>
      </c>
      <c r="K123" s="5">
        <v>376000</v>
      </c>
      <c r="L123" s="76" t="s">
        <v>252</v>
      </c>
      <c r="M123" s="3" t="s">
        <v>388</v>
      </c>
      <c r="N123" s="3" t="s">
        <v>374</v>
      </c>
      <c r="O123" s="84" t="s">
        <v>41</v>
      </c>
      <c r="P123" s="91"/>
      <c r="Q123" s="91"/>
      <c r="R123" s="91"/>
      <c r="S123" s="91"/>
      <c r="T123" s="91"/>
      <c r="U123" s="91"/>
      <c r="V123" s="91"/>
    </row>
    <row r="124" spans="1:22" s="75" customFormat="1" ht="72">
      <c r="A124" s="78" t="s">
        <v>321</v>
      </c>
      <c r="B124" s="3" t="s">
        <v>34</v>
      </c>
      <c r="C124" s="76"/>
      <c r="D124" s="6" t="s">
        <v>389</v>
      </c>
      <c r="E124" s="3" t="s">
        <v>382</v>
      </c>
      <c r="F124" s="76" t="s">
        <v>36</v>
      </c>
      <c r="G124" s="3" t="s">
        <v>37</v>
      </c>
      <c r="H124" s="3" t="s">
        <v>42</v>
      </c>
      <c r="I124" s="76" t="s">
        <v>38</v>
      </c>
      <c r="J124" s="3" t="s">
        <v>39</v>
      </c>
      <c r="K124" s="5">
        <v>600000</v>
      </c>
      <c r="L124" s="76" t="s">
        <v>252</v>
      </c>
      <c r="M124" s="3" t="s">
        <v>379</v>
      </c>
      <c r="N124" s="3" t="s">
        <v>43</v>
      </c>
      <c r="O124" s="84" t="s">
        <v>41</v>
      </c>
      <c r="P124" s="91"/>
      <c r="Q124" s="91"/>
      <c r="R124" s="91"/>
      <c r="S124" s="91"/>
      <c r="T124" s="91"/>
      <c r="U124" s="91"/>
      <c r="V124" s="91"/>
    </row>
    <row r="125" spans="1:22" s="46" customFormat="1" ht="72">
      <c r="A125" s="78" t="s">
        <v>322</v>
      </c>
      <c r="B125" s="3" t="s">
        <v>34</v>
      </c>
      <c r="C125" s="47" t="s">
        <v>110</v>
      </c>
      <c r="D125" s="6" t="s">
        <v>144</v>
      </c>
      <c r="E125" s="3" t="s">
        <v>111</v>
      </c>
      <c r="F125" s="47" t="s">
        <v>36</v>
      </c>
      <c r="G125" s="3" t="s">
        <v>37</v>
      </c>
      <c r="H125" s="3" t="s">
        <v>42</v>
      </c>
      <c r="I125" s="47" t="s">
        <v>38</v>
      </c>
      <c r="J125" s="3" t="s">
        <v>39</v>
      </c>
      <c r="K125" s="5">
        <v>450000</v>
      </c>
      <c r="L125" s="78" t="s">
        <v>379</v>
      </c>
      <c r="M125" s="3" t="s">
        <v>191</v>
      </c>
      <c r="N125" s="3" t="s">
        <v>384</v>
      </c>
      <c r="O125" s="84" t="s">
        <v>41</v>
      </c>
      <c r="P125" s="91"/>
      <c r="Q125" s="91"/>
      <c r="R125" s="91"/>
      <c r="S125" s="91"/>
      <c r="T125" s="91"/>
      <c r="U125" s="91"/>
      <c r="V125" s="91"/>
    </row>
    <row r="126" spans="1:22" s="46" customFormat="1" ht="72">
      <c r="A126" s="76" t="s">
        <v>333</v>
      </c>
      <c r="B126" s="3" t="s">
        <v>34</v>
      </c>
      <c r="C126" s="47" t="s">
        <v>98</v>
      </c>
      <c r="D126" s="4" t="s">
        <v>146</v>
      </c>
      <c r="E126" s="3" t="s">
        <v>92</v>
      </c>
      <c r="F126" s="47" t="s">
        <v>36</v>
      </c>
      <c r="G126" s="3" t="s">
        <v>37</v>
      </c>
      <c r="H126" s="3" t="s">
        <v>42</v>
      </c>
      <c r="I126" s="47" t="s">
        <v>38</v>
      </c>
      <c r="J126" s="3" t="s">
        <v>39</v>
      </c>
      <c r="K126" s="10">
        <f>339738.98*1.18</f>
        <v>400891.99639999995</v>
      </c>
      <c r="L126" s="3" t="s">
        <v>253</v>
      </c>
      <c r="M126" s="3" t="s">
        <v>145</v>
      </c>
      <c r="N126" s="3" t="s">
        <v>99</v>
      </c>
      <c r="O126" s="81" t="s">
        <v>41</v>
      </c>
      <c r="P126" s="107"/>
      <c r="Q126" s="107"/>
      <c r="R126" s="107"/>
      <c r="S126" s="107"/>
      <c r="T126" s="107"/>
      <c r="U126" s="107"/>
      <c r="V126" s="108"/>
    </row>
    <row r="127" spans="1:22" s="46" customFormat="1" ht="72">
      <c r="A127" s="76" t="s">
        <v>334</v>
      </c>
      <c r="B127" s="3" t="s">
        <v>34</v>
      </c>
      <c r="C127" s="47" t="s">
        <v>105</v>
      </c>
      <c r="D127" s="6" t="s">
        <v>106</v>
      </c>
      <c r="E127" s="3" t="s">
        <v>107</v>
      </c>
      <c r="F127" s="47" t="s">
        <v>69</v>
      </c>
      <c r="G127" s="3" t="s">
        <v>70</v>
      </c>
      <c r="H127" s="3" t="s">
        <v>42</v>
      </c>
      <c r="I127" s="47" t="s">
        <v>38</v>
      </c>
      <c r="J127" s="3" t="s">
        <v>39</v>
      </c>
      <c r="K127" s="5">
        <v>4985493.11</v>
      </c>
      <c r="L127" s="47" t="s">
        <v>253</v>
      </c>
      <c r="M127" s="3" t="s">
        <v>145</v>
      </c>
      <c r="N127" s="3" t="s">
        <v>43</v>
      </c>
      <c r="O127" s="84" t="s">
        <v>41</v>
      </c>
      <c r="P127" s="84"/>
      <c r="Q127" s="84"/>
      <c r="R127" s="84"/>
      <c r="S127" s="84"/>
      <c r="T127" s="84"/>
      <c r="U127" s="84"/>
      <c r="V127" s="84"/>
    </row>
    <row r="128" spans="1:22" s="46" customFormat="1" ht="15">
      <c r="A128" s="12"/>
      <c r="B128" s="12"/>
      <c r="C128" s="12"/>
      <c r="D128" s="13"/>
      <c r="E128" s="14"/>
      <c r="F128" s="15"/>
      <c r="G128" s="14"/>
      <c r="H128" s="14"/>
      <c r="I128" s="12"/>
      <c r="J128" s="14"/>
      <c r="K128" s="16">
        <f>SUM(K90:K127)</f>
        <v>1521756454.4078</v>
      </c>
      <c r="L128" s="12"/>
      <c r="M128" s="14"/>
      <c r="N128" s="14"/>
      <c r="O128" s="92"/>
      <c r="P128" s="93"/>
      <c r="Q128" s="93"/>
      <c r="R128" s="93"/>
      <c r="S128" s="93"/>
      <c r="T128" s="93"/>
      <c r="U128" s="93"/>
      <c r="V128" s="94"/>
    </row>
    <row r="129" spans="1:22" s="46" customFormat="1" ht="15">
      <c r="A129" s="88" t="s">
        <v>113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90"/>
    </row>
    <row r="130" spans="1:22" s="46" customFormat="1" ht="72">
      <c r="A130" s="77" t="s">
        <v>362</v>
      </c>
      <c r="B130" s="3" t="s">
        <v>34</v>
      </c>
      <c r="C130" s="17" t="s">
        <v>121</v>
      </c>
      <c r="D130" s="18" t="s">
        <v>156</v>
      </c>
      <c r="E130" s="19" t="s">
        <v>96</v>
      </c>
      <c r="F130" s="47" t="s">
        <v>36</v>
      </c>
      <c r="G130" s="3" t="s">
        <v>37</v>
      </c>
      <c r="H130" s="3" t="s">
        <v>30</v>
      </c>
      <c r="I130" s="47" t="s">
        <v>38</v>
      </c>
      <c r="J130" s="3" t="s">
        <v>39</v>
      </c>
      <c r="K130" s="20">
        <f>297000*1.18</f>
        <v>350460</v>
      </c>
      <c r="L130" s="71" t="s">
        <v>239</v>
      </c>
      <c r="M130" s="53" t="s">
        <v>237</v>
      </c>
      <c r="N130" s="3" t="s">
        <v>43</v>
      </c>
      <c r="O130" s="84" t="s">
        <v>41</v>
      </c>
      <c r="P130" s="84"/>
      <c r="Q130" s="84"/>
      <c r="R130" s="84"/>
      <c r="S130" s="84"/>
      <c r="T130" s="84"/>
      <c r="U130" s="84"/>
      <c r="V130" s="84"/>
    </row>
    <row r="131" spans="1:22" s="46" customFormat="1" ht="72">
      <c r="A131" s="77" t="s">
        <v>363</v>
      </c>
      <c r="B131" s="3" t="s">
        <v>123</v>
      </c>
      <c r="C131" s="17" t="s">
        <v>161</v>
      </c>
      <c r="D131" s="18" t="s">
        <v>162</v>
      </c>
      <c r="E131" s="19" t="s">
        <v>96</v>
      </c>
      <c r="F131" s="47" t="s">
        <v>36</v>
      </c>
      <c r="G131" s="3" t="s">
        <v>37</v>
      </c>
      <c r="H131" s="3" t="s">
        <v>30</v>
      </c>
      <c r="I131" s="47" t="s">
        <v>38</v>
      </c>
      <c r="J131" s="3" t="s">
        <v>39</v>
      </c>
      <c r="K131" s="20">
        <f>5515000*1.18</f>
        <v>6507700</v>
      </c>
      <c r="L131" s="47" t="s">
        <v>237</v>
      </c>
      <c r="M131" s="53" t="s">
        <v>254</v>
      </c>
      <c r="N131" s="3" t="s">
        <v>43</v>
      </c>
      <c r="O131" s="84" t="s">
        <v>41</v>
      </c>
      <c r="P131" s="84"/>
      <c r="Q131" s="84"/>
      <c r="R131" s="84"/>
      <c r="S131" s="84"/>
      <c r="T131" s="84"/>
      <c r="U131" s="84"/>
      <c r="V131" s="84"/>
    </row>
    <row r="132" spans="1:22" s="46" customFormat="1" ht="72">
      <c r="A132" s="77" t="s">
        <v>364</v>
      </c>
      <c r="B132" s="19" t="s">
        <v>34</v>
      </c>
      <c r="C132" s="22" t="s">
        <v>114</v>
      </c>
      <c r="D132" s="4" t="s">
        <v>138</v>
      </c>
      <c r="E132" s="19" t="s">
        <v>96</v>
      </c>
      <c r="F132" s="22" t="s">
        <v>36</v>
      </c>
      <c r="G132" s="19" t="s">
        <v>37</v>
      </c>
      <c r="H132" s="22" t="s">
        <v>30</v>
      </c>
      <c r="I132" s="22" t="s">
        <v>38</v>
      </c>
      <c r="J132" s="19" t="s">
        <v>39</v>
      </c>
      <c r="K132" s="23">
        <f>250000*1.18</f>
        <v>295000</v>
      </c>
      <c r="L132" s="47" t="s">
        <v>237</v>
      </c>
      <c r="M132" s="19" t="s">
        <v>245</v>
      </c>
      <c r="N132" s="19" t="s">
        <v>49</v>
      </c>
      <c r="O132" s="95" t="s">
        <v>41</v>
      </c>
      <c r="P132" s="96"/>
      <c r="Q132" s="96"/>
      <c r="R132" s="96"/>
      <c r="S132" s="96"/>
      <c r="T132" s="96"/>
      <c r="U132" s="96"/>
      <c r="V132" s="97"/>
    </row>
    <row r="133" spans="1:22" s="46" customFormat="1" ht="72">
      <c r="A133" s="77" t="s">
        <v>365</v>
      </c>
      <c r="B133" s="19" t="s">
        <v>34</v>
      </c>
      <c r="C133" s="22" t="s">
        <v>114</v>
      </c>
      <c r="D133" s="4" t="s">
        <v>137</v>
      </c>
      <c r="E133" s="19" t="s">
        <v>96</v>
      </c>
      <c r="F133" s="22" t="s">
        <v>36</v>
      </c>
      <c r="G133" s="19" t="s">
        <v>37</v>
      </c>
      <c r="H133" s="22" t="s">
        <v>30</v>
      </c>
      <c r="I133" s="22" t="s">
        <v>38</v>
      </c>
      <c r="J133" s="19" t="s">
        <v>39</v>
      </c>
      <c r="K133" s="23">
        <f>1500000*1.18</f>
        <v>1770000</v>
      </c>
      <c r="L133" s="47" t="s">
        <v>237</v>
      </c>
      <c r="M133" s="19" t="s">
        <v>245</v>
      </c>
      <c r="N133" s="19" t="s">
        <v>43</v>
      </c>
      <c r="O133" s="95" t="s">
        <v>41</v>
      </c>
      <c r="P133" s="96"/>
      <c r="Q133" s="96"/>
      <c r="R133" s="96"/>
      <c r="S133" s="96"/>
      <c r="T133" s="96"/>
      <c r="U133" s="96"/>
      <c r="V133" s="97"/>
    </row>
    <row r="134" spans="1:22" s="46" customFormat="1" ht="72">
      <c r="A134" s="77" t="s">
        <v>366</v>
      </c>
      <c r="B134" s="19" t="s">
        <v>123</v>
      </c>
      <c r="C134" s="22" t="s">
        <v>164</v>
      </c>
      <c r="D134" s="4" t="s">
        <v>165</v>
      </c>
      <c r="E134" s="19" t="s">
        <v>96</v>
      </c>
      <c r="F134" s="22" t="s">
        <v>158</v>
      </c>
      <c r="G134" s="19" t="s">
        <v>37</v>
      </c>
      <c r="H134" s="22" t="s">
        <v>31</v>
      </c>
      <c r="I134" s="22" t="s">
        <v>38</v>
      </c>
      <c r="J134" s="19" t="s">
        <v>39</v>
      </c>
      <c r="K134" s="23">
        <f>270000*1.18</f>
        <v>318600</v>
      </c>
      <c r="L134" s="12" t="s">
        <v>250</v>
      </c>
      <c r="M134" s="19" t="s">
        <v>252</v>
      </c>
      <c r="N134" s="19" t="s">
        <v>43</v>
      </c>
      <c r="O134" s="95" t="s">
        <v>41</v>
      </c>
      <c r="P134" s="96"/>
      <c r="Q134" s="96"/>
      <c r="R134" s="96"/>
      <c r="S134" s="96"/>
      <c r="T134" s="96"/>
      <c r="U134" s="96"/>
      <c r="V134" s="97"/>
    </row>
    <row r="135" spans="1:22" s="46" customFormat="1" ht="72">
      <c r="A135" s="77" t="s">
        <v>367</v>
      </c>
      <c r="B135" s="19" t="s">
        <v>34</v>
      </c>
      <c r="C135" s="22" t="s">
        <v>114</v>
      </c>
      <c r="D135" s="4" t="s">
        <v>139</v>
      </c>
      <c r="E135" s="19" t="s">
        <v>96</v>
      </c>
      <c r="F135" s="22" t="s">
        <v>36</v>
      </c>
      <c r="G135" s="19" t="s">
        <v>37</v>
      </c>
      <c r="H135" s="22" t="s">
        <v>47</v>
      </c>
      <c r="I135" s="22" t="s">
        <v>38</v>
      </c>
      <c r="J135" s="19" t="s">
        <v>39</v>
      </c>
      <c r="K135" s="24">
        <f>635000*1.18</f>
        <v>749300</v>
      </c>
      <c r="L135" s="12" t="s">
        <v>250</v>
      </c>
      <c r="M135" s="19" t="s">
        <v>252</v>
      </c>
      <c r="N135" s="19" t="s">
        <v>43</v>
      </c>
      <c r="O135" s="95" t="s">
        <v>41</v>
      </c>
      <c r="P135" s="96"/>
      <c r="Q135" s="96"/>
      <c r="R135" s="96"/>
      <c r="S135" s="96"/>
      <c r="T135" s="96"/>
      <c r="U135" s="96"/>
      <c r="V135" s="97"/>
    </row>
    <row r="136" spans="1:22" s="46" customFormat="1" ht="72">
      <c r="A136" s="77" t="s">
        <v>385</v>
      </c>
      <c r="B136" s="3" t="s">
        <v>34</v>
      </c>
      <c r="C136" s="17" t="s">
        <v>121</v>
      </c>
      <c r="D136" s="18" t="s">
        <v>142</v>
      </c>
      <c r="E136" s="19" t="s">
        <v>96</v>
      </c>
      <c r="F136" s="47" t="s">
        <v>36</v>
      </c>
      <c r="G136" s="3" t="s">
        <v>37</v>
      </c>
      <c r="H136" s="3" t="s">
        <v>30</v>
      </c>
      <c r="I136" s="47" t="s">
        <v>38</v>
      </c>
      <c r="J136" s="3" t="s">
        <v>39</v>
      </c>
      <c r="K136" s="20">
        <f>2408000*1.18</f>
        <v>2841440</v>
      </c>
      <c r="L136" s="72" t="s">
        <v>252</v>
      </c>
      <c r="M136" s="73" t="s">
        <v>379</v>
      </c>
      <c r="N136" s="3" t="s">
        <v>43</v>
      </c>
      <c r="O136" s="84" t="s">
        <v>41</v>
      </c>
      <c r="P136" s="84"/>
      <c r="Q136" s="84"/>
      <c r="R136" s="84"/>
      <c r="S136" s="84"/>
      <c r="T136" s="84"/>
      <c r="U136" s="84"/>
      <c r="V136" s="84"/>
    </row>
    <row r="137" spans="1:22" ht="72">
      <c r="A137" s="77" t="s">
        <v>386</v>
      </c>
      <c r="B137" s="19" t="s">
        <v>34</v>
      </c>
      <c r="C137" s="22" t="s">
        <v>114</v>
      </c>
      <c r="D137" s="4" t="s">
        <v>192</v>
      </c>
      <c r="E137" s="19" t="s">
        <v>96</v>
      </c>
      <c r="F137" s="22" t="s">
        <v>36</v>
      </c>
      <c r="G137" s="19" t="s">
        <v>37</v>
      </c>
      <c r="H137" s="22" t="s">
        <v>30</v>
      </c>
      <c r="I137" s="22" t="s">
        <v>38</v>
      </c>
      <c r="J137" s="19" t="s">
        <v>39</v>
      </c>
      <c r="K137" s="23">
        <f>491000*1.18</f>
        <v>579380</v>
      </c>
      <c r="L137" s="22" t="s">
        <v>379</v>
      </c>
      <c r="M137" s="19" t="s">
        <v>266</v>
      </c>
      <c r="N137" s="19" t="s">
        <v>43</v>
      </c>
      <c r="O137" s="95" t="s">
        <v>41</v>
      </c>
      <c r="P137" s="96"/>
      <c r="Q137" s="96"/>
      <c r="R137" s="96"/>
      <c r="S137" s="96"/>
      <c r="T137" s="96"/>
      <c r="U137" s="96"/>
      <c r="V137" s="97"/>
    </row>
    <row r="138" spans="1:22" s="74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25">
        <f>SUM(K130:K137)</f>
        <v>13411880</v>
      </c>
      <c r="L138" s="8"/>
      <c r="M138" s="8"/>
      <c r="N138" s="8"/>
      <c r="O138" s="99"/>
      <c r="P138" s="82"/>
      <c r="Q138" s="82"/>
      <c r="R138" s="82"/>
      <c r="S138" s="82"/>
      <c r="T138" s="82"/>
      <c r="U138" s="82"/>
      <c r="V138" s="83"/>
    </row>
    <row r="139" spans="1:22" ht="15">
      <c r="A139" s="100" t="s">
        <v>115</v>
      </c>
      <c r="B139" s="101"/>
      <c r="C139" s="101"/>
      <c r="D139" s="101"/>
      <c r="E139" s="101"/>
      <c r="F139" s="101"/>
      <c r="G139" s="101"/>
      <c r="H139" s="101"/>
      <c r="I139" s="101"/>
      <c r="J139" s="102"/>
      <c r="K139" s="26">
        <f>SUM(K47,K60,K88,K128,K138)</f>
        <v>1997918935.2614</v>
      </c>
      <c r="L139" s="12"/>
      <c r="M139" s="27"/>
      <c r="N139" s="28"/>
      <c r="O139" s="103"/>
      <c r="P139" s="104"/>
      <c r="Q139" s="104"/>
      <c r="R139" s="104"/>
      <c r="S139" s="104"/>
      <c r="T139" s="104"/>
      <c r="U139" s="104"/>
      <c r="V139" s="105"/>
    </row>
    <row r="140" spans="1:22" ht="15.75">
      <c r="A140" s="29"/>
      <c r="B140" s="29"/>
      <c r="C140" s="29"/>
      <c r="D140" s="30"/>
      <c r="E140" s="29"/>
      <c r="F140" s="29"/>
      <c r="G140" s="29"/>
      <c r="H140" s="29"/>
      <c r="I140" s="29"/>
      <c r="J140" s="29"/>
      <c r="K140" s="29"/>
      <c r="L140" s="31"/>
      <c r="M140" s="106" t="s">
        <v>390</v>
      </c>
      <c r="N140" s="106"/>
      <c r="O140" s="106"/>
      <c r="P140" s="106"/>
      <c r="Q140" s="106"/>
      <c r="R140" s="106"/>
      <c r="S140" s="106"/>
      <c r="T140" s="106"/>
      <c r="U140" s="106"/>
      <c r="V140" s="106"/>
    </row>
    <row r="141" spans="1:15" ht="15">
      <c r="A141" s="98" t="s">
        <v>124</v>
      </c>
      <c r="B141" s="98"/>
      <c r="C141" s="98"/>
      <c r="D141" s="98"/>
      <c r="E141" s="98"/>
      <c r="F141" s="98"/>
      <c r="G141" s="98"/>
      <c r="H141" s="98"/>
      <c r="I141" s="32"/>
      <c r="J141" s="32" t="s">
        <v>116</v>
      </c>
      <c r="K141" s="32"/>
      <c r="L141" s="33"/>
      <c r="M141" s="32"/>
      <c r="N141" s="34" t="s">
        <v>117</v>
      </c>
      <c r="O141" s="32"/>
    </row>
    <row r="142" spans="1:15" ht="15.75">
      <c r="A142" s="31"/>
      <c r="B142" s="31"/>
      <c r="C142" s="31"/>
      <c r="D142" s="36"/>
      <c r="E142" s="31"/>
      <c r="F142" s="31"/>
      <c r="G142" s="31"/>
      <c r="H142" s="31"/>
      <c r="I142" s="37"/>
      <c r="J142" s="37" t="s">
        <v>118</v>
      </c>
      <c r="K142" s="37"/>
      <c r="L142" s="31"/>
      <c r="M142" s="31"/>
      <c r="N142" s="31"/>
      <c r="O142" s="38"/>
    </row>
    <row r="143" spans="2:13" ht="15">
      <c r="B143" s="39" t="s">
        <v>119</v>
      </c>
      <c r="M143" s="39" t="s">
        <v>125</v>
      </c>
    </row>
    <row r="144" ht="15">
      <c r="B144" s="39" t="s">
        <v>120</v>
      </c>
    </row>
  </sheetData>
  <sheetProtection/>
  <mergeCells count="153">
    <mergeCell ref="O122:V122"/>
    <mergeCell ref="O116:V116"/>
    <mergeCell ref="O119:V119"/>
    <mergeCell ref="O104:V104"/>
    <mergeCell ref="O105:V105"/>
    <mergeCell ref="O110:V110"/>
    <mergeCell ref="O111:V111"/>
    <mergeCell ref="O109:V109"/>
    <mergeCell ref="O112:V112"/>
    <mergeCell ref="O106:V106"/>
    <mergeCell ref="O57:V57"/>
    <mergeCell ref="O102:V102"/>
    <mergeCell ref="O108:V108"/>
    <mergeCell ref="O97:V97"/>
    <mergeCell ref="O98:V98"/>
    <mergeCell ref="O99:V99"/>
    <mergeCell ref="O100:V100"/>
    <mergeCell ref="O88:V88"/>
    <mergeCell ref="O96:V96"/>
    <mergeCell ref="O60:V60"/>
    <mergeCell ref="O40:V40"/>
    <mergeCell ref="O54:V54"/>
    <mergeCell ref="O56:V56"/>
    <mergeCell ref="O50:V50"/>
    <mergeCell ref="O51:V51"/>
    <mergeCell ref="O52:V52"/>
    <mergeCell ref="O53:V53"/>
    <mergeCell ref="A12:V12"/>
    <mergeCell ref="O29:V29"/>
    <mergeCell ref="O41:V41"/>
    <mergeCell ref="O30:V30"/>
    <mergeCell ref="O35:V35"/>
    <mergeCell ref="O36:V36"/>
    <mergeCell ref="O39:V39"/>
    <mergeCell ref="D17:M17"/>
    <mergeCell ref="N17:N19"/>
    <mergeCell ref="O19:V19"/>
    <mergeCell ref="O4:V4"/>
    <mergeCell ref="O31:V31"/>
    <mergeCell ref="O27:V27"/>
    <mergeCell ref="O44:V44"/>
    <mergeCell ref="O43:V43"/>
    <mergeCell ref="O38:V38"/>
    <mergeCell ref="O8:V8"/>
    <mergeCell ref="A9:V9"/>
    <mergeCell ref="A10:V10"/>
    <mergeCell ref="A11:V11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20:V20"/>
    <mergeCell ref="A21:V21"/>
    <mergeCell ref="O33:V33"/>
    <mergeCell ref="O26:V26"/>
    <mergeCell ref="O24:V24"/>
    <mergeCell ref="O23:V23"/>
    <mergeCell ref="L18:M18"/>
    <mergeCell ref="O107:V107"/>
    <mergeCell ref="O113:V113"/>
    <mergeCell ref="O78:V78"/>
    <mergeCell ref="O126:V126"/>
    <mergeCell ref="O84:V84"/>
    <mergeCell ref="O93:V93"/>
    <mergeCell ref="O94:V94"/>
    <mergeCell ref="O95:V95"/>
    <mergeCell ref="O118:V118"/>
    <mergeCell ref="O68:V68"/>
    <mergeCell ref="O72:V72"/>
    <mergeCell ref="O22:V22"/>
    <mergeCell ref="O32:V32"/>
    <mergeCell ref="O66:V66"/>
    <mergeCell ref="O25:V25"/>
    <mergeCell ref="O34:V34"/>
    <mergeCell ref="O42:V42"/>
    <mergeCell ref="O45:V45"/>
    <mergeCell ref="O46:V46"/>
    <mergeCell ref="O80:V80"/>
    <mergeCell ref="A61:V61"/>
    <mergeCell ref="O47:V47"/>
    <mergeCell ref="A48:V48"/>
    <mergeCell ref="O59:V59"/>
    <mergeCell ref="O71:V71"/>
    <mergeCell ref="O62:V62"/>
    <mergeCell ref="O63:V63"/>
    <mergeCell ref="O58:V58"/>
    <mergeCell ref="O55:V55"/>
    <mergeCell ref="O131:V131"/>
    <mergeCell ref="O86:V86"/>
    <mergeCell ref="O49:V49"/>
    <mergeCell ref="O81:V81"/>
    <mergeCell ref="O83:V83"/>
    <mergeCell ref="O64:V64"/>
    <mergeCell ref="O70:V70"/>
    <mergeCell ref="O77:V77"/>
    <mergeCell ref="O69:V69"/>
    <mergeCell ref="O130:V130"/>
    <mergeCell ref="O76:V76"/>
    <mergeCell ref="O127:V127"/>
    <mergeCell ref="O137:V137"/>
    <mergeCell ref="A89:V89"/>
    <mergeCell ref="O90:V90"/>
    <mergeCell ref="O117:V117"/>
    <mergeCell ref="O103:V103"/>
    <mergeCell ref="O115:V115"/>
    <mergeCell ref="O124:V124"/>
    <mergeCell ref="A141:H141"/>
    <mergeCell ref="O138:V138"/>
    <mergeCell ref="A139:J139"/>
    <mergeCell ref="O132:V132"/>
    <mergeCell ref="O133:V133"/>
    <mergeCell ref="O79:V79"/>
    <mergeCell ref="O134:V134"/>
    <mergeCell ref="O139:V139"/>
    <mergeCell ref="M140:V140"/>
    <mergeCell ref="O123:V123"/>
    <mergeCell ref="O75:V75"/>
    <mergeCell ref="O136:V136"/>
    <mergeCell ref="O67:V67"/>
    <mergeCell ref="O91:V91"/>
    <mergeCell ref="O92:V92"/>
    <mergeCell ref="A129:V129"/>
    <mergeCell ref="O125:V125"/>
    <mergeCell ref="O101:V101"/>
    <mergeCell ref="O128:V128"/>
    <mergeCell ref="O135:V135"/>
    <mergeCell ref="AE81:BA81"/>
    <mergeCell ref="O114:V114"/>
    <mergeCell ref="O28:V28"/>
    <mergeCell ref="O37:V37"/>
    <mergeCell ref="O121:V121"/>
    <mergeCell ref="O73:V73"/>
    <mergeCell ref="O82:V82"/>
    <mergeCell ref="O87:V87"/>
    <mergeCell ref="O65:V65"/>
    <mergeCell ref="O85:V85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2014-09-09T09:57:24Z</cp:lastPrinted>
  <dcterms:created xsi:type="dcterms:W3CDTF">2013-01-04T08:07:52Z</dcterms:created>
  <dcterms:modified xsi:type="dcterms:W3CDTF">2014-12-02T05:46:07Z</dcterms:modified>
  <cp:category/>
  <cp:version/>
  <cp:contentType/>
  <cp:contentStatus/>
</cp:coreProperties>
</file>